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DATOS USER\Downloads\"/>
    </mc:Choice>
  </mc:AlternateContent>
  <bookViews>
    <workbookView xWindow="0" yWindow="0" windowWidth="20490" windowHeight="7755" tabRatio="874"/>
  </bookViews>
  <sheets>
    <sheet name="Programador" sheetId="1" r:id="rId1"/>
    <sheet name="DR 2345 Plazos" sheetId="4" state="hidden" r:id="rId2"/>
    <sheet name="Indicadores" sheetId="17" state="hidden" r:id="rId3"/>
    <sheet name="ACTIVIDADES POR TAREA" sheetId="18" state="hidden" r:id="rId4"/>
    <sheet name="Mensual" sheetId="19" state="hidden" r:id="rId5"/>
    <sheet name="Convertidor fechas texto" sheetId="15" state="hidden" r:id="rId6"/>
    <sheet name="Res 11004 de 2018 Exóg " sheetId="5" state="hidden" r:id="rId7"/>
    <sheet name="Cúcuta" sheetId="9" state="hidden" r:id="rId8"/>
    <sheet name="SDH 002 2012 Ica" sheetId="13" state="hidden" r:id="rId9"/>
    <sheet name="RESOL SDH 000508" sheetId="8" state="hidden" r:id="rId10"/>
    <sheet name="Sicali" sheetId="10" state="hidden" r:id="rId11"/>
    <sheet name="Calendario supersoc" sheetId="12" state="hidden" r:id="rId12"/>
    <sheet name="Res 00 Mar 28 F2516" sheetId="16" state="hidden" r:id="rId13"/>
  </sheets>
  <definedNames>
    <definedName name="_xlnm.Print_Area" localSheetId="2">Indicadores!$A$1:$J$37</definedName>
    <definedName name="_xlnm.Print_Area" localSheetId="0">Programador!$A$1:$K$79</definedName>
    <definedName name="_xlnm.Print_Titles" localSheetId="3">'ACTIVIDADES POR TAREA'!$1:$1</definedName>
  </definedNames>
  <calcPr calcId="152511"/>
</workbook>
</file>

<file path=xl/calcChain.xml><?xml version="1.0" encoding="utf-8"?>
<calcChain xmlns="http://schemas.openxmlformats.org/spreadsheetml/2006/main">
  <c r="B55" i="1" l="1"/>
  <c r="D61" i="1"/>
  <c r="D60" i="1"/>
  <c r="D59" i="1"/>
  <c r="D58" i="1"/>
  <c r="D57" i="1"/>
  <c r="D56" i="1"/>
  <c r="B21" i="1"/>
  <c r="D41" i="5"/>
  <c r="B62" i="1" l="1"/>
  <c r="C5" i="18"/>
  <c r="F4" i="18" s="1"/>
  <c r="C3" i="18"/>
  <c r="C3" i="19" s="1"/>
  <c r="C5" i="19" l="1"/>
  <c r="C24" i="17"/>
  <c r="G17" i="17"/>
  <c r="B48" i="1"/>
  <c r="B53" i="1"/>
  <c r="B52" i="1"/>
  <c r="B51" i="1"/>
  <c r="B50" i="1"/>
  <c r="B49" i="1"/>
  <c r="D8" i="1"/>
  <c r="G16" i="17"/>
  <c r="U202" i="15"/>
  <c r="T202" i="15"/>
  <c r="S202" i="15"/>
  <c r="N202" i="15"/>
  <c r="M202" i="15"/>
  <c r="L202" i="15"/>
  <c r="G202" i="15"/>
  <c r="F202" i="15"/>
  <c r="E202" i="15"/>
  <c r="H202" i="15" s="1"/>
  <c r="X202" i="15" s="1"/>
  <c r="U201" i="15"/>
  <c r="T201" i="15"/>
  <c r="S201" i="15"/>
  <c r="V201" i="15"/>
  <c r="Z201" i="15" s="1"/>
  <c r="N201" i="15"/>
  <c r="M201" i="15"/>
  <c r="L201" i="15"/>
  <c r="O201" i="15" s="1"/>
  <c r="Y201" i="15" s="1"/>
  <c r="G201" i="15"/>
  <c r="F201" i="15"/>
  <c r="E201" i="15"/>
  <c r="U200" i="15"/>
  <c r="T200" i="15"/>
  <c r="S200" i="15"/>
  <c r="N200" i="15"/>
  <c r="M200" i="15"/>
  <c r="L200" i="15"/>
  <c r="O200" i="15" s="1"/>
  <c r="Y200" i="15" s="1"/>
  <c r="G200" i="15"/>
  <c r="F200" i="15"/>
  <c r="E200" i="15"/>
  <c r="H200" i="15" s="1"/>
  <c r="X200" i="15" s="1"/>
  <c r="U199" i="15"/>
  <c r="T199" i="15"/>
  <c r="S199" i="15"/>
  <c r="V199" i="15" s="1"/>
  <c r="Z199" i="15" s="1"/>
  <c r="N199" i="15"/>
  <c r="M199" i="15"/>
  <c r="L199" i="15"/>
  <c r="G199" i="15"/>
  <c r="F199" i="15"/>
  <c r="E199" i="15"/>
  <c r="H199" i="15" s="1"/>
  <c r="X199" i="15" s="1"/>
  <c r="U198" i="15"/>
  <c r="T198" i="15"/>
  <c r="S198" i="15"/>
  <c r="N198" i="15"/>
  <c r="M198" i="15"/>
  <c r="L198" i="15"/>
  <c r="G198" i="15"/>
  <c r="F198" i="15"/>
  <c r="E198" i="15"/>
  <c r="H198" i="15" s="1"/>
  <c r="X198" i="15" s="1"/>
  <c r="U197" i="15"/>
  <c r="T197" i="15"/>
  <c r="S197" i="15"/>
  <c r="V197" i="15" s="1"/>
  <c r="Z197" i="15" s="1"/>
  <c r="N197" i="15"/>
  <c r="M197" i="15"/>
  <c r="L197" i="15"/>
  <c r="O197" i="15" s="1"/>
  <c r="Y197" i="15" s="1"/>
  <c r="G197" i="15"/>
  <c r="F197" i="15"/>
  <c r="E197" i="15"/>
  <c r="U196" i="15"/>
  <c r="T196" i="15"/>
  <c r="S196" i="15"/>
  <c r="N196" i="15"/>
  <c r="M196" i="15"/>
  <c r="L196" i="15"/>
  <c r="O196" i="15" s="1"/>
  <c r="Y196" i="15" s="1"/>
  <c r="G196" i="15"/>
  <c r="F196" i="15"/>
  <c r="E196" i="15"/>
  <c r="U195" i="15"/>
  <c r="T195" i="15"/>
  <c r="S195" i="15"/>
  <c r="V195" i="15" s="1"/>
  <c r="Z195" i="15" s="1"/>
  <c r="N195" i="15"/>
  <c r="M195" i="15"/>
  <c r="L195" i="15"/>
  <c r="G195" i="15"/>
  <c r="H195" i="15" s="1"/>
  <c r="X195" i="15" s="1"/>
  <c r="F195" i="15"/>
  <c r="E195" i="15"/>
  <c r="U194" i="15"/>
  <c r="T194" i="15"/>
  <c r="S194" i="15"/>
  <c r="N194" i="15"/>
  <c r="M194" i="15"/>
  <c r="L194" i="15"/>
  <c r="G194" i="15"/>
  <c r="H194" i="15" s="1"/>
  <c r="X194" i="15" s="1"/>
  <c r="F194" i="15"/>
  <c r="E194" i="15"/>
  <c r="U193" i="15"/>
  <c r="T193" i="15"/>
  <c r="S193" i="15"/>
  <c r="V193" i="15" s="1"/>
  <c r="Z193" i="15" s="1"/>
  <c r="N193" i="15"/>
  <c r="M193" i="15"/>
  <c r="L193" i="15"/>
  <c r="G193" i="15"/>
  <c r="F193" i="15"/>
  <c r="E193" i="15"/>
  <c r="H193" i="15" s="1"/>
  <c r="X193" i="15" s="1"/>
  <c r="U190" i="15"/>
  <c r="T190" i="15"/>
  <c r="S190" i="15"/>
  <c r="N190" i="15"/>
  <c r="O190" i="15" s="1"/>
  <c r="Y190" i="15" s="1"/>
  <c r="M190" i="15"/>
  <c r="L190" i="15"/>
  <c r="G190" i="15"/>
  <c r="F190" i="15"/>
  <c r="E190" i="15"/>
  <c r="U189" i="15"/>
  <c r="T189" i="15"/>
  <c r="S189" i="15"/>
  <c r="N189" i="15"/>
  <c r="M189" i="15"/>
  <c r="L189" i="15"/>
  <c r="G189" i="15"/>
  <c r="F189" i="15"/>
  <c r="E189" i="15"/>
  <c r="H189" i="15"/>
  <c r="X189" i="15" s="1"/>
  <c r="U188" i="15"/>
  <c r="T188" i="15"/>
  <c r="S188" i="15"/>
  <c r="V188" i="15" s="1"/>
  <c r="Z188" i="15" s="1"/>
  <c r="N188" i="15"/>
  <c r="M188" i="15"/>
  <c r="L188" i="15"/>
  <c r="G188" i="15"/>
  <c r="F188" i="15"/>
  <c r="E188" i="15"/>
  <c r="U187" i="15"/>
  <c r="T187" i="15"/>
  <c r="S187" i="15"/>
  <c r="V187" i="15" s="1"/>
  <c r="Z187" i="15" s="1"/>
  <c r="N187" i="15"/>
  <c r="M187" i="15"/>
  <c r="L187" i="15"/>
  <c r="O187" i="15" s="1"/>
  <c r="Y187" i="15" s="1"/>
  <c r="G187" i="15"/>
  <c r="F187" i="15"/>
  <c r="E187" i="15"/>
  <c r="U186" i="15"/>
  <c r="V186" i="15" s="1"/>
  <c r="Z186" i="15" s="1"/>
  <c r="T186" i="15"/>
  <c r="S186" i="15"/>
  <c r="N186" i="15"/>
  <c r="M186" i="15"/>
  <c r="L186" i="15"/>
  <c r="O186" i="15" s="1"/>
  <c r="Y186" i="15" s="1"/>
  <c r="G186" i="15"/>
  <c r="F186" i="15"/>
  <c r="E186" i="15"/>
  <c r="U185" i="15"/>
  <c r="T185" i="15"/>
  <c r="S185" i="15"/>
  <c r="N185" i="15"/>
  <c r="M185" i="15"/>
  <c r="L185" i="15"/>
  <c r="G185" i="15"/>
  <c r="F185" i="15"/>
  <c r="E185" i="15"/>
  <c r="H185" i="15"/>
  <c r="X185" i="15" s="1"/>
  <c r="U184" i="15"/>
  <c r="T184" i="15"/>
  <c r="S184" i="15"/>
  <c r="V184" i="15" s="1"/>
  <c r="Z184" i="15" s="1"/>
  <c r="N184" i="15"/>
  <c r="M184" i="15"/>
  <c r="L184" i="15"/>
  <c r="G184" i="15"/>
  <c r="F184" i="15"/>
  <c r="E184" i="15"/>
  <c r="U183" i="15"/>
  <c r="T183" i="15"/>
  <c r="S183" i="15"/>
  <c r="V183" i="15" s="1"/>
  <c r="Z183" i="15" s="1"/>
  <c r="N183" i="15"/>
  <c r="M183" i="15"/>
  <c r="L183" i="15"/>
  <c r="O183" i="15" s="1"/>
  <c r="Y183" i="15" s="1"/>
  <c r="G183" i="15"/>
  <c r="F183" i="15"/>
  <c r="E183" i="15"/>
  <c r="U182" i="15"/>
  <c r="V182" i="15" s="1"/>
  <c r="Z182" i="15" s="1"/>
  <c r="T182" i="15"/>
  <c r="S182" i="15"/>
  <c r="N182" i="15"/>
  <c r="M182" i="15"/>
  <c r="L182" i="15"/>
  <c r="G182" i="15"/>
  <c r="F182" i="15"/>
  <c r="E182" i="15"/>
  <c r="U181" i="15"/>
  <c r="T181" i="15"/>
  <c r="S181" i="15"/>
  <c r="N181" i="15"/>
  <c r="M181" i="15"/>
  <c r="L181" i="15"/>
  <c r="G181" i="15"/>
  <c r="F181" i="15"/>
  <c r="E181" i="15"/>
  <c r="H181" i="15"/>
  <c r="X181" i="15" s="1"/>
  <c r="U178" i="15"/>
  <c r="T178" i="15"/>
  <c r="S178" i="15"/>
  <c r="Y178" i="15"/>
  <c r="N178" i="15"/>
  <c r="M178" i="15"/>
  <c r="L178" i="15"/>
  <c r="O178" i="15" s="1"/>
  <c r="H178" i="15"/>
  <c r="X178" i="15" s="1"/>
  <c r="G178" i="15"/>
  <c r="F178" i="15"/>
  <c r="E178" i="15"/>
  <c r="U177" i="15"/>
  <c r="V177" i="15" s="1"/>
  <c r="Z177" i="15" s="1"/>
  <c r="T177" i="15"/>
  <c r="S177" i="15"/>
  <c r="N177" i="15"/>
  <c r="M177" i="15"/>
  <c r="L177" i="15"/>
  <c r="G177" i="15"/>
  <c r="F177" i="15"/>
  <c r="H177" i="15" s="1"/>
  <c r="X177" i="15" s="1"/>
  <c r="E177" i="15"/>
  <c r="U176" i="15"/>
  <c r="T176" i="15"/>
  <c r="S176" i="15"/>
  <c r="N176" i="15"/>
  <c r="M176" i="15"/>
  <c r="L176" i="15"/>
  <c r="O176" i="15" s="1"/>
  <c r="Y176" i="15" s="1"/>
  <c r="G176" i="15"/>
  <c r="F176" i="15"/>
  <c r="E176" i="15"/>
  <c r="H176" i="15" s="1"/>
  <c r="X176" i="15" s="1"/>
  <c r="U175" i="15"/>
  <c r="T175" i="15"/>
  <c r="S175" i="15"/>
  <c r="N175" i="15"/>
  <c r="O175" i="15" s="1"/>
  <c r="Y175" i="15" s="1"/>
  <c r="M175" i="15"/>
  <c r="L175" i="15"/>
  <c r="G175" i="15"/>
  <c r="F175" i="15"/>
  <c r="H175" i="15" s="1"/>
  <c r="X175" i="15" s="1"/>
  <c r="E175" i="15"/>
  <c r="U174" i="15"/>
  <c r="T174" i="15"/>
  <c r="S174" i="15"/>
  <c r="N174" i="15"/>
  <c r="M174" i="15"/>
  <c r="L174" i="15"/>
  <c r="G174" i="15"/>
  <c r="F174" i="15"/>
  <c r="E174" i="15"/>
  <c r="U173" i="15"/>
  <c r="T173" i="15"/>
  <c r="S173" i="15"/>
  <c r="V173" i="15" s="1"/>
  <c r="Z173" i="15" s="1"/>
  <c r="N173" i="15"/>
  <c r="M173" i="15"/>
  <c r="L173" i="15"/>
  <c r="O173" i="15" s="1"/>
  <c r="Y173" i="15" s="1"/>
  <c r="G173" i="15"/>
  <c r="F173" i="15"/>
  <c r="E173" i="15"/>
  <c r="U172" i="15"/>
  <c r="V172" i="15" s="1"/>
  <c r="Z172" i="15" s="1"/>
  <c r="T172" i="15"/>
  <c r="S172" i="15"/>
  <c r="N172" i="15"/>
  <c r="O172" i="15" s="1"/>
  <c r="Y172" i="15" s="1"/>
  <c r="M172" i="15"/>
  <c r="L172" i="15"/>
  <c r="G172" i="15"/>
  <c r="F172" i="15"/>
  <c r="E172" i="15"/>
  <c r="U171" i="15"/>
  <c r="T171" i="15"/>
  <c r="V171" i="15" s="1"/>
  <c r="Z171" i="15" s="1"/>
  <c r="S171" i="15"/>
  <c r="N171" i="15"/>
  <c r="M171" i="15"/>
  <c r="L171" i="15"/>
  <c r="G171" i="15"/>
  <c r="F171" i="15"/>
  <c r="E171" i="15"/>
  <c r="H171" i="15"/>
  <c r="X171" i="15" s="1"/>
  <c r="U170" i="15"/>
  <c r="T170" i="15"/>
  <c r="S170" i="15"/>
  <c r="N170" i="15"/>
  <c r="M170" i="15"/>
  <c r="L170" i="15"/>
  <c r="G170" i="15"/>
  <c r="F170" i="15"/>
  <c r="E170" i="15"/>
  <c r="U169" i="15"/>
  <c r="T169" i="15"/>
  <c r="S169" i="15"/>
  <c r="V169" i="15" s="1"/>
  <c r="Z169" i="15" s="1"/>
  <c r="N169" i="15"/>
  <c r="M169" i="15"/>
  <c r="L169" i="15"/>
  <c r="O169" i="15" s="1"/>
  <c r="Y169" i="15" s="1"/>
  <c r="G169" i="15"/>
  <c r="F169" i="15"/>
  <c r="E169" i="15"/>
  <c r="U165" i="15"/>
  <c r="V165" i="15" s="1"/>
  <c r="Z165" i="15" s="1"/>
  <c r="T165" i="15"/>
  <c r="S165" i="15"/>
  <c r="N165" i="15"/>
  <c r="M165" i="15"/>
  <c r="L165" i="15"/>
  <c r="G165" i="15"/>
  <c r="F165" i="15"/>
  <c r="E165" i="15"/>
  <c r="U164" i="15"/>
  <c r="T164" i="15"/>
  <c r="S164" i="15"/>
  <c r="N164" i="15"/>
  <c r="M164" i="15"/>
  <c r="L164" i="15"/>
  <c r="G164" i="15"/>
  <c r="F164" i="15"/>
  <c r="E164" i="15"/>
  <c r="H164" i="15"/>
  <c r="X164" i="15" s="1"/>
  <c r="U163" i="15"/>
  <c r="T163" i="15"/>
  <c r="S163" i="15"/>
  <c r="V163" i="15" s="1"/>
  <c r="Z163" i="15" s="1"/>
  <c r="N163" i="15"/>
  <c r="M163" i="15"/>
  <c r="L163" i="15"/>
  <c r="G163" i="15"/>
  <c r="F163" i="15"/>
  <c r="E163" i="15"/>
  <c r="U162" i="15"/>
  <c r="T162" i="15"/>
  <c r="S162" i="15"/>
  <c r="V162" i="15" s="1"/>
  <c r="Z162" i="15" s="1"/>
  <c r="N162" i="15"/>
  <c r="M162" i="15"/>
  <c r="L162" i="15"/>
  <c r="O162" i="15" s="1"/>
  <c r="Y162" i="15" s="1"/>
  <c r="G162" i="15"/>
  <c r="F162" i="15"/>
  <c r="E162" i="15"/>
  <c r="U161" i="15"/>
  <c r="V161" i="15" s="1"/>
  <c r="Z161" i="15" s="1"/>
  <c r="T161" i="15"/>
  <c r="S161" i="15"/>
  <c r="N161" i="15"/>
  <c r="M161" i="15"/>
  <c r="O161" i="15" s="1"/>
  <c r="Y161" i="15" s="1"/>
  <c r="L161" i="15"/>
  <c r="G161" i="15"/>
  <c r="F161" i="15"/>
  <c r="E161" i="15"/>
  <c r="U160" i="15"/>
  <c r="T160" i="15"/>
  <c r="S160" i="15"/>
  <c r="N160" i="15"/>
  <c r="M160" i="15"/>
  <c r="L160" i="15"/>
  <c r="G160" i="15"/>
  <c r="F160" i="15"/>
  <c r="E160" i="15"/>
  <c r="H160" i="15"/>
  <c r="X160" i="15" s="1"/>
  <c r="U159" i="15"/>
  <c r="T159" i="15"/>
  <c r="S159" i="15"/>
  <c r="Y159" i="15"/>
  <c r="N159" i="15"/>
  <c r="M159" i="15"/>
  <c r="L159" i="15"/>
  <c r="O159" i="15" s="1"/>
  <c r="H159" i="15"/>
  <c r="X159" i="15" s="1"/>
  <c r="G159" i="15"/>
  <c r="F159" i="15"/>
  <c r="E159" i="15"/>
  <c r="U158" i="15"/>
  <c r="V158" i="15" s="1"/>
  <c r="Z158" i="15" s="1"/>
  <c r="T158" i="15"/>
  <c r="S158" i="15"/>
  <c r="N158" i="15"/>
  <c r="M158" i="15"/>
  <c r="L158" i="15"/>
  <c r="G158" i="15"/>
  <c r="F158" i="15"/>
  <c r="H158" i="15" s="1"/>
  <c r="X158" i="15" s="1"/>
  <c r="E158" i="15"/>
  <c r="U157" i="15"/>
  <c r="T157" i="15"/>
  <c r="S157" i="15"/>
  <c r="N157" i="15"/>
  <c r="M157" i="15"/>
  <c r="L157" i="15"/>
  <c r="O157" i="15" s="1"/>
  <c r="Y157" i="15" s="1"/>
  <c r="G157" i="15"/>
  <c r="F157" i="15"/>
  <c r="E157" i="15"/>
  <c r="H157" i="15" s="1"/>
  <c r="X157" i="15" s="1"/>
  <c r="U156" i="15"/>
  <c r="T156" i="15"/>
  <c r="S156" i="15"/>
  <c r="N156" i="15"/>
  <c r="O156" i="15" s="1"/>
  <c r="Y156" i="15" s="1"/>
  <c r="M156" i="15"/>
  <c r="L156" i="15"/>
  <c r="G156" i="15"/>
  <c r="F156" i="15"/>
  <c r="H156" i="15" s="1"/>
  <c r="X156" i="15" s="1"/>
  <c r="E156" i="15"/>
  <c r="G6" i="17"/>
  <c r="G7" i="17"/>
  <c r="G8" i="17"/>
  <c r="C9" i="17"/>
  <c r="G11" i="17"/>
  <c r="G12" i="17"/>
  <c r="C17" i="17"/>
  <c r="C20" i="17"/>
  <c r="G20" i="17"/>
  <c r="D306" i="4"/>
  <c r="I128" i="15"/>
  <c r="K128" i="15"/>
  <c r="I127" i="15"/>
  <c r="K127" i="15"/>
  <c r="I126" i="15"/>
  <c r="K126" i="15"/>
  <c r="I125" i="15"/>
  <c r="K125" i="15"/>
  <c r="I124" i="15"/>
  <c r="K124" i="15"/>
  <c r="I123" i="15"/>
  <c r="K123" i="15"/>
  <c r="I122" i="15"/>
  <c r="K122" i="15"/>
  <c r="I121" i="15"/>
  <c r="K121" i="15"/>
  <c r="I120" i="15"/>
  <c r="K120" i="15"/>
  <c r="I119" i="15"/>
  <c r="K119" i="15"/>
  <c r="I118" i="15"/>
  <c r="K118" i="15"/>
  <c r="I117" i="15"/>
  <c r="K117" i="15"/>
  <c r="I116" i="15"/>
  <c r="K116" i="15"/>
  <c r="I115" i="15"/>
  <c r="K115" i="15"/>
  <c r="I114" i="15"/>
  <c r="K114" i="15"/>
  <c r="I113" i="15"/>
  <c r="K113" i="15"/>
  <c r="I112" i="15"/>
  <c r="K112" i="15"/>
  <c r="I111" i="15"/>
  <c r="K111" i="15"/>
  <c r="I110" i="15"/>
  <c r="K110" i="15"/>
  <c r="I109" i="15"/>
  <c r="K109" i="15"/>
  <c r="I108" i="15"/>
  <c r="K108" i="15"/>
  <c r="I107" i="15"/>
  <c r="K107" i="15"/>
  <c r="I106" i="15"/>
  <c r="K106" i="15"/>
  <c r="I105" i="15"/>
  <c r="K105" i="15"/>
  <c r="I104" i="15"/>
  <c r="K104" i="15"/>
  <c r="I103" i="15"/>
  <c r="K103" i="15"/>
  <c r="I102" i="15"/>
  <c r="K102" i="15"/>
  <c r="I101" i="15"/>
  <c r="K101" i="15"/>
  <c r="I100" i="15"/>
  <c r="K100" i="15"/>
  <c r="I99" i="15"/>
  <c r="K99" i="15"/>
  <c r="I98" i="15"/>
  <c r="K98" i="15"/>
  <c r="I97" i="15"/>
  <c r="K97" i="15"/>
  <c r="I96" i="15"/>
  <c r="K96" i="15"/>
  <c r="I95" i="15"/>
  <c r="K95" i="15"/>
  <c r="I94" i="15"/>
  <c r="K94" i="15"/>
  <c r="I93" i="15"/>
  <c r="K93" i="15"/>
  <c r="I92" i="15"/>
  <c r="K92" i="15"/>
  <c r="I91" i="15"/>
  <c r="K91" i="15"/>
  <c r="I90" i="15"/>
  <c r="K90" i="15"/>
  <c r="I89" i="15"/>
  <c r="K89" i="15"/>
  <c r="I88" i="15"/>
  <c r="K88" i="15"/>
  <c r="I87" i="15"/>
  <c r="K87" i="15"/>
  <c r="I86" i="15"/>
  <c r="K86" i="15"/>
  <c r="I85" i="15"/>
  <c r="K85" i="15"/>
  <c r="I84" i="15"/>
  <c r="K84" i="15"/>
  <c r="I83" i="15"/>
  <c r="K83" i="15"/>
  <c r="I82" i="15"/>
  <c r="K82" i="15"/>
  <c r="I81" i="15"/>
  <c r="K81" i="15"/>
  <c r="I80" i="15"/>
  <c r="K80" i="15"/>
  <c r="E128" i="15"/>
  <c r="F128" i="15"/>
  <c r="G128" i="15"/>
  <c r="E127" i="15"/>
  <c r="F127" i="15"/>
  <c r="G127" i="15"/>
  <c r="E126" i="15"/>
  <c r="F126" i="15"/>
  <c r="G126" i="15"/>
  <c r="E125" i="15"/>
  <c r="F125" i="15"/>
  <c r="G125" i="15"/>
  <c r="E124" i="15"/>
  <c r="F124" i="15"/>
  <c r="G124" i="15"/>
  <c r="E123" i="15"/>
  <c r="F123" i="15"/>
  <c r="G123" i="15"/>
  <c r="E122" i="15"/>
  <c r="F122" i="15"/>
  <c r="G122" i="15"/>
  <c r="E121" i="15"/>
  <c r="F121" i="15"/>
  <c r="G121" i="15"/>
  <c r="E120" i="15"/>
  <c r="F120" i="15"/>
  <c r="G120" i="15"/>
  <c r="E119" i="15"/>
  <c r="F119" i="15"/>
  <c r="G119" i="15"/>
  <c r="H119" i="15" s="1"/>
  <c r="E118" i="15"/>
  <c r="F118" i="15"/>
  <c r="G118" i="15"/>
  <c r="E117" i="15"/>
  <c r="F117" i="15"/>
  <c r="G117" i="15"/>
  <c r="E116" i="15"/>
  <c r="F116" i="15"/>
  <c r="G116" i="15"/>
  <c r="E115" i="15"/>
  <c r="F115" i="15"/>
  <c r="G115" i="15"/>
  <c r="E114" i="15"/>
  <c r="F114" i="15"/>
  <c r="G114" i="15"/>
  <c r="H114" i="15" s="1"/>
  <c r="E113" i="15"/>
  <c r="F113" i="15"/>
  <c r="G113" i="15"/>
  <c r="E112" i="15"/>
  <c r="F112" i="15"/>
  <c r="G112" i="15"/>
  <c r="E111" i="15"/>
  <c r="F111" i="15"/>
  <c r="G111" i="15"/>
  <c r="E110" i="15"/>
  <c r="F110" i="15"/>
  <c r="G110" i="15"/>
  <c r="E109" i="15"/>
  <c r="F109" i="15"/>
  <c r="G109" i="15"/>
  <c r="E108" i="15"/>
  <c r="F108" i="15"/>
  <c r="G108" i="15"/>
  <c r="E107" i="15"/>
  <c r="F107" i="15"/>
  <c r="G107" i="15"/>
  <c r="E106" i="15"/>
  <c r="F106" i="15"/>
  <c r="G106" i="15"/>
  <c r="E105" i="15"/>
  <c r="F105" i="15"/>
  <c r="G105" i="15"/>
  <c r="E104" i="15"/>
  <c r="F104" i="15"/>
  <c r="G104" i="15"/>
  <c r="E103" i="15"/>
  <c r="F103" i="15"/>
  <c r="G103" i="15"/>
  <c r="E102" i="15"/>
  <c r="F102" i="15"/>
  <c r="G102" i="15"/>
  <c r="E101" i="15"/>
  <c r="F101" i="15"/>
  <c r="G101" i="15"/>
  <c r="E100" i="15"/>
  <c r="F100" i="15"/>
  <c r="G100" i="15"/>
  <c r="E99" i="15"/>
  <c r="F99" i="15"/>
  <c r="G99" i="15"/>
  <c r="E98" i="15"/>
  <c r="F98" i="15"/>
  <c r="G98" i="15"/>
  <c r="E97" i="15"/>
  <c r="F97" i="15"/>
  <c r="G97" i="15"/>
  <c r="E96" i="15"/>
  <c r="F96" i="15"/>
  <c r="G96" i="15"/>
  <c r="E95" i="15"/>
  <c r="F95" i="15"/>
  <c r="G95" i="15"/>
  <c r="E94" i="15"/>
  <c r="F94" i="15"/>
  <c r="G94" i="15"/>
  <c r="E93" i="15"/>
  <c r="F93" i="15"/>
  <c r="G93" i="15"/>
  <c r="E92" i="15"/>
  <c r="F92" i="15"/>
  <c r="G92" i="15"/>
  <c r="E91" i="15"/>
  <c r="F91" i="15"/>
  <c r="G91" i="15"/>
  <c r="H91" i="15" s="1"/>
  <c r="E90" i="15"/>
  <c r="F90" i="15"/>
  <c r="G90" i="15"/>
  <c r="E89" i="15"/>
  <c r="F89" i="15"/>
  <c r="G89" i="15"/>
  <c r="E88" i="15"/>
  <c r="F88" i="15"/>
  <c r="G88" i="15"/>
  <c r="E87" i="15"/>
  <c r="F87" i="15"/>
  <c r="H87" i="15" s="1"/>
  <c r="G87" i="15"/>
  <c r="E86" i="15"/>
  <c r="F86" i="15"/>
  <c r="G86" i="15"/>
  <c r="E85" i="15"/>
  <c r="F85" i="15"/>
  <c r="G85" i="15"/>
  <c r="E84" i="15"/>
  <c r="F84" i="15"/>
  <c r="G84" i="15"/>
  <c r="E83" i="15"/>
  <c r="F83" i="15"/>
  <c r="G83" i="15"/>
  <c r="E82" i="15"/>
  <c r="F82" i="15"/>
  <c r="G82" i="15"/>
  <c r="E81" i="15"/>
  <c r="F81" i="15"/>
  <c r="G81" i="15"/>
  <c r="E80" i="15"/>
  <c r="F80" i="15"/>
  <c r="G80" i="15"/>
  <c r="K129" i="15"/>
  <c r="I129" i="15"/>
  <c r="G129" i="15"/>
  <c r="F129" i="15"/>
  <c r="E129" i="15"/>
  <c r="E58" i="15"/>
  <c r="F58" i="15"/>
  <c r="G58" i="15"/>
  <c r="E59" i="15"/>
  <c r="F59" i="15"/>
  <c r="G59" i="15"/>
  <c r="E60" i="15"/>
  <c r="F60" i="15"/>
  <c r="G60" i="15"/>
  <c r="E61" i="15"/>
  <c r="F61" i="15"/>
  <c r="G61" i="15"/>
  <c r="E62" i="15"/>
  <c r="F62" i="15"/>
  <c r="G62" i="15"/>
  <c r="E63" i="15"/>
  <c r="F63" i="15"/>
  <c r="G63" i="15"/>
  <c r="E64" i="15"/>
  <c r="F64" i="15"/>
  <c r="G64" i="15"/>
  <c r="E65" i="15"/>
  <c r="F65" i="15"/>
  <c r="G65" i="15"/>
  <c r="E66" i="15"/>
  <c r="F66" i="15"/>
  <c r="G66" i="15"/>
  <c r="E67" i="15"/>
  <c r="F67" i="15"/>
  <c r="G67" i="15"/>
  <c r="E68" i="15"/>
  <c r="F68" i="15"/>
  <c r="G68" i="15"/>
  <c r="E69" i="15"/>
  <c r="F69" i="15"/>
  <c r="G69" i="15"/>
  <c r="E70" i="15"/>
  <c r="F70" i="15"/>
  <c r="G70" i="15"/>
  <c r="E71" i="15"/>
  <c r="H71" i="15" s="1"/>
  <c r="F71" i="15"/>
  <c r="G71" i="15"/>
  <c r="E72" i="15"/>
  <c r="F72" i="15"/>
  <c r="G72" i="15"/>
  <c r="E73" i="15"/>
  <c r="F73" i="15"/>
  <c r="G73" i="15"/>
  <c r="E74" i="15"/>
  <c r="F74" i="15"/>
  <c r="G74" i="15"/>
  <c r="E75" i="15"/>
  <c r="F75" i="15"/>
  <c r="G75" i="15"/>
  <c r="E76" i="15"/>
  <c r="F76" i="15"/>
  <c r="G76" i="15"/>
  <c r="G57" i="15"/>
  <c r="F57" i="15"/>
  <c r="E57" i="15"/>
  <c r="K58" i="15"/>
  <c r="K59" i="15"/>
  <c r="K60" i="15"/>
  <c r="K61" i="15"/>
  <c r="K62" i="15"/>
  <c r="K63" i="15"/>
  <c r="K64" i="15"/>
  <c r="K65" i="15"/>
  <c r="K66" i="15"/>
  <c r="K67" i="15"/>
  <c r="K68" i="15"/>
  <c r="K69" i="15"/>
  <c r="K70" i="15"/>
  <c r="K71" i="15"/>
  <c r="K72" i="15"/>
  <c r="K73" i="15"/>
  <c r="K74" i="15"/>
  <c r="K75" i="15"/>
  <c r="K76" i="15"/>
  <c r="K57" i="15"/>
  <c r="I58" i="15"/>
  <c r="I59" i="15"/>
  <c r="I60" i="15"/>
  <c r="I61" i="15"/>
  <c r="I62" i="15"/>
  <c r="I63" i="15"/>
  <c r="I64" i="15"/>
  <c r="I65" i="15"/>
  <c r="I66" i="15"/>
  <c r="I67" i="15"/>
  <c r="I68" i="15"/>
  <c r="I69" i="15"/>
  <c r="I70" i="15"/>
  <c r="I71" i="15"/>
  <c r="I72" i="15"/>
  <c r="I73" i="15"/>
  <c r="I74" i="15"/>
  <c r="I75" i="15"/>
  <c r="I76" i="15"/>
  <c r="I57" i="15"/>
  <c r="H82" i="15"/>
  <c r="H98" i="15"/>
  <c r="H103" i="15"/>
  <c r="H107" i="15"/>
  <c r="H123" i="15"/>
  <c r="H129" i="15"/>
  <c r="D160" i="4"/>
  <c r="E23" i="15"/>
  <c r="H23" i="15" s="1"/>
  <c r="F23" i="15"/>
  <c r="G23" i="15"/>
  <c r="E24" i="15"/>
  <c r="F24" i="15"/>
  <c r="G24" i="15"/>
  <c r="E25" i="15"/>
  <c r="F25" i="15"/>
  <c r="H25" i="15" s="1"/>
  <c r="G25" i="15"/>
  <c r="E26" i="15"/>
  <c r="F26" i="15"/>
  <c r="G26" i="15"/>
  <c r="E27" i="15"/>
  <c r="F27" i="15"/>
  <c r="G27" i="15"/>
  <c r="E28" i="15"/>
  <c r="F28" i="15"/>
  <c r="G28" i="15"/>
  <c r="E29" i="15"/>
  <c r="F29" i="15"/>
  <c r="G29" i="15"/>
  <c r="E30" i="15"/>
  <c r="F30" i="15"/>
  <c r="G30" i="15"/>
  <c r="E31" i="15"/>
  <c r="F31" i="15"/>
  <c r="G31" i="15"/>
  <c r="E32" i="15"/>
  <c r="F32" i="15"/>
  <c r="G32" i="15"/>
  <c r="E33" i="15"/>
  <c r="F33" i="15"/>
  <c r="G33" i="15"/>
  <c r="H33" i="15" s="1"/>
  <c r="E34" i="15"/>
  <c r="F34" i="15"/>
  <c r="G34" i="15"/>
  <c r="E35" i="15"/>
  <c r="F35" i="15"/>
  <c r="G35" i="15"/>
  <c r="E36" i="15"/>
  <c r="F36" i="15"/>
  <c r="G36" i="15"/>
  <c r="E37" i="15"/>
  <c r="F37" i="15"/>
  <c r="H37" i="15" s="1"/>
  <c r="G37" i="15"/>
  <c r="E38" i="15"/>
  <c r="F38" i="15"/>
  <c r="G38" i="15"/>
  <c r="E39" i="15"/>
  <c r="F39" i="15"/>
  <c r="G39" i="15"/>
  <c r="E40" i="15"/>
  <c r="F40" i="15"/>
  <c r="G40" i="15"/>
  <c r="E41" i="15"/>
  <c r="F41" i="15"/>
  <c r="H41" i="15" s="1"/>
  <c r="G41" i="15"/>
  <c r="E42" i="15"/>
  <c r="F42" i="15"/>
  <c r="G42" i="15"/>
  <c r="E43" i="15"/>
  <c r="F43" i="15"/>
  <c r="G43" i="15"/>
  <c r="E44" i="15"/>
  <c r="F44" i="15"/>
  <c r="G44" i="15"/>
  <c r="E45" i="15"/>
  <c r="F45" i="15"/>
  <c r="G45" i="15"/>
  <c r="E46" i="15"/>
  <c r="F46" i="15"/>
  <c r="G46" i="15"/>
  <c r="E47" i="15"/>
  <c r="F47" i="15"/>
  <c r="G47" i="15"/>
  <c r="E48" i="15"/>
  <c r="F48" i="15"/>
  <c r="G48" i="15"/>
  <c r="E49" i="15"/>
  <c r="F49" i="15"/>
  <c r="G49" i="15"/>
  <c r="H49" i="15" s="1"/>
  <c r="E50" i="15"/>
  <c r="F50" i="15"/>
  <c r="G50" i="15"/>
  <c r="E51" i="15"/>
  <c r="F51" i="15"/>
  <c r="G51" i="15"/>
  <c r="E52" i="15"/>
  <c r="H52" i="15" s="1"/>
  <c r="F52" i="15"/>
  <c r="G52" i="15"/>
  <c r="D88" i="4"/>
  <c r="E13" i="15"/>
  <c r="F13" i="15"/>
  <c r="G13" i="15"/>
  <c r="E14" i="15"/>
  <c r="F14" i="15"/>
  <c r="G14" i="15"/>
  <c r="E15" i="15"/>
  <c r="F15" i="15"/>
  <c r="G15" i="15"/>
  <c r="E16" i="15"/>
  <c r="F16" i="15"/>
  <c r="G16" i="15"/>
  <c r="E17" i="15"/>
  <c r="F17" i="15"/>
  <c r="G17" i="15"/>
  <c r="E18" i="15"/>
  <c r="F18" i="15"/>
  <c r="G18" i="15"/>
  <c r="H18" i="15" s="1"/>
  <c r="E19" i="15"/>
  <c r="F19" i="15"/>
  <c r="G19" i="15"/>
  <c r="H19" i="15" s="1"/>
  <c r="E20" i="15"/>
  <c r="F20" i="15"/>
  <c r="G20" i="15"/>
  <c r="E21" i="15"/>
  <c r="F21" i="15"/>
  <c r="G21" i="15"/>
  <c r="E22" i="15"/>
  <c r="F22" i="15"/>
  <c r="H22" i="15" s="1"/>
  <c r="G22" i="15"/>
  <c r="E2" i="15"/>
  <c r="F2" i="15"/>
  <c r="G2" i="15"/>
  <c r="E3" i="15"/>
  <c r="F3" i="15"/>
  <c r="G3" i="15"/>
  <c r="E4" i="15"/>
  <c r="F4" i="15"/>
  <c r="G4" i="15"/>
  <c r="E5" i="15"/>
  <c r="F5" i="15"/>
  <c r="G5" i="15"/>
  <c r="E6" i="15"/>
  <c r="F6" i="15"/>
  <c r="G6" i="15"/>
  <c r="E7" i="15"/>
  <c r="H7" i="15" s="1"/>
  <c r="F7" i="15"/>
  <c r="G7" i="15"/>
  <c r="E8" i="15"/>
  <c r="F8" i="15"/>
  <c r="G8" i="15"/>
  <c r="E9" i="15"/>
  <c r="F9" i="15"/>
  <c r="G9" i="15"/>
  <c r="E10" i="15"/>
  <c r="F10" i="15"/>
  <c r="G10" i="15"/>
  <c r="E11" i="15"/>
  <c r="F11" i="15"/>
  <c r="G11" i="15"/>
  <c r="H45" i="15"/>
  <c r="H29" i="15"/>
  <c r="H42" i="15"/>
  <c r="H30" i="15"/>
  <c r="H14" i="15"/>
  <c r="H5" i="15"/>
  <c r="F21" i="1"/>
  <c r="D68" i="1"/>
  <c r="F68" i="1" s="1"/>
  <c r="B41" i="1"/>
  <c r="B39" i="1"/>
  <c r="B40" i="1"/>
  <c r="B42" i="1"/>
  <c r="B44" i="1"/>
  <c r="B43" i="1"/>
  <c r="B61" i="1"/>
  <c r="C61" i="1" s="1"/>
  <c r="B60" i="1"/>
  <c r="C60" i="1" s="1"/>
  <c r="B59" i="1"/>
  <c r="F59" i="1" s="1"/>
  <c r="B58" i="1"/>
  <c r="C58" i="1" s="1"/>
  <c r="B57" i="1"/>
  <c r="C57" i="1" s="1"/>
  <c r="B56" i="1"/>
  <c r="C56" i="1" s="1"/>
  <c r="D75" i="1"/>
  <c r="F75" i="1" s="1"/>
  <c r="B75" i="1"/>
  <c r="H13" i="1"/>
  <c r="D35" i="1"/>
  <c r="F35" i="1" s="1"/>
  <c r="D43" i="1"/>
  <c r="F43" i="1" s="1"/>
  <c r="D44" i="1"/>
  <c r="F44" i="1" s="1"/>
  <c r="D42" i="1"/>
  <c r="F42" i="1" s="1"/>
  <c r="D40" i="1"/>
  <c r="F40" i="1" s="1"/>
  <c r="D41" i="1"/>
  <c r="F41" i="1" s="1"/>
  <c r="D39" i="1"/>
  <c r="F39" i="1" s="1"/>
  <c r="F36" i="1"/>
  <c r="F5" i="1"/>
  <c r="G6" i="1" s="1"/>
  <c r="E5" i="18" s="1"/>
  <c r="E5" i="19" s="1"/>
  <c r="B19" i="1"/>
  <c r="D19" i="1" s="1"/>
  <c r="F19" i="1" s="1"/>
  <c r="B20" i="1"/>
  <c r="D20" i="1" s="1"/>
  <c r="F20" i="1" s="1"/>
  <c r="B18" i="1"/>
  <c r="H12" i="1"/>
  <c r="H11" i="1"/>
  <c r="D25" i="1"/>
  <c r="F25" i="1" s="1"/>
  <c r="D27" i="1"/>
  <c r="F27" i="1" s="1"/>
  <c r="D29" i="1"/>
  <c r="F29" i="1" s="1"/>
  <c r="D31" i="1"/>
  <c r="F31" i="1" s="1"/>
  <c r="D33" i="1"/>
  <c r="F33" i="1" s="1"/>
  <c r="D24" i="1"/>
  <c r="F24" i="1" s="1"/>
  <c r="D26" i="1"/>
  <c r="F26" i="1" s="1"/>
  <c r="D28" i="1"/>
  <c r="F28" i="1" s="1"/>
  <c r="D30" i="1"/>
  <c r="F30" i="1" s="1"/>
  <c r="D32" i="1"/>
  <c r="F32" i="1" s="1"/>
  <c r="D34" i="1"/>
  <c r="F34" i="1" s="1"/>
  <c r="D53" i="1" l="1"/>
  <c r="F53" i="1" s="1"/>
  <c r="D71" i="1"/>
  <c r="D72" i="1"/>
  <c r="D18" i="1"/>
  <c r="F18" i="1" s="1"/>
  <c r="F58" i="1"/>
  <c r="H57" i="15"/>
  <c r="H75" i="15"/>
  <c r="H65" i="15"/>
  <c r="H59" i="15"/>
  <c r="H64" i="15"/>
  <c r="H4" i="15"/>
  <c r="H9" i="15"/>
  <c r="H70" i="15"/>
  <c r="H67" i="15"/>
  <c r="H63" i="15"/>
  <c r="H83" i="15"/>
  <c r="H95" i="15"/>
  <c r="H99" i="15"/>
  <c r="H111" i="15"/>
  <c r="H115" i="15"/>
  <c r="H127" i="15"/>
  <c r="O182" i="15"/>
  <c r="Y182" i="15" s="1"/>
  <c r="H11" i="15"/>
  <c r="H10" i="15"/>
  <c r="H8" i="15"/>
  <c r="H6" i="15"/>
  <c r="H3" i="15"/>
  <c r="H2" i="15"/>
  <c r="H21" i="15"/>
  <c r="H20" i="15"/>
  <c r="H17" i="15"/>
  <c r="H16" i="15"/>
  <c r="H15" i="15"/>
  <c r="H13" i="15"/>
  <c r="H50" i="15"/>
  <c r="H47" i="15"/>
  <c r="H46" i="15"/>
  <c r="O165" i="15"/>
  <c r="Y165" i="15" s="1"/>
  <c r="H174" i="15"/>
  <c r="X174" i="15" s="1"/>
  <c r="V156" i="15"/>
  <c r="Z156" i="15" s="1"/>
  <c r="V157" i="15"/>
  <c r="Z157" i="15" s="1"/>
  <c r="O158" i="15"/>
  <c r="Y158" i="15" s="1"/>
  <c r="H162" i="15"/>
  <c r="X162" i="15" s="1"/>
  <c r="O163" i="15"/>
  <c r="Y163" i="15" s="1"/>
  <c r="H169" i="15"/>
  <c r="X169" i="15" s="1"/>
  <c r="O170" i="15"/>
  <c r="Y170" i="15" s="1"/>
  <c r="O171" i="15"/>
  <c r="Y171" i="15" s="1"/>
  <c r="H172" i="15"/>
  <c r="X172" i="15" s="1"/>
  <c r="H173" i="15"/>
  <c r="X173" i="15" s="1"/>
  <c r="V175" i="15"/>
  <c r="Z175" i="15" s="1"/>
  <c r="V176" i="15"/>
  <c r="Z176" i="15" s="1"/>
  <c r="O177" i="15"/>
  <c r="Y177" i="15" s="1"/>
  <c r="H183" i="15"/>
  <c r="X183" i="15" s="1"/>
  <c r="O184" i="15"/>
  <c r="Y184" i="15" s="1"/>
  <c r="H187" i="15"/>
  <c r="X187" i="15" s="1"/>
  <c r="O188" i="15"/>
  <c r="Y188" i="15" s="1"/>
  <c r="H190" i="15"/>
  <c r="X190" i="15" s="1"/>
  <c r="O194" i="15"/>
  <c r="Y194" i="15" s="1"/>
  <c r="V196" i="15"/>
  <c r="Z196" i="15" s="1"/>
  <c r="V202" i="15"/>
  <c r="Z202" i="15" s="1"/>
  <c r="H44" i="15"/>
  <c r="H39" i="15"/>
  <c r="H38" i="15"/>
  <c r="H36" i="15"/>
  <c r="H34" i="15"/>
  <c r="H31" i="15"/>
  <c r="H28" i="15"/>
  <c r="H26" i="15"/>
  <c r="H76" i="15"/>
  <c r="H74" i="15"/>
  <c r="H73" i="15"/>
  <c r="H72" i="15"/>
  <c r="H68" i="15"/>
  <c r="H62" i="15"/>
  <c r="H61" i="15"/>
  <c r="H60" i="15"/>
  <c r="H58" i="15"/>
  <c r="H80" i="15"/>
  <c r="H81" i="15"/>
  <c r="H85" i="15"/>
  <c r="H86" i="15"/>
  <c r="H88" i="15"/>
  <c r="H89" i="15"/>
  <c r="H90" i="15"/>
  <c r="H92" i="15"/>
  <c r="H93" i="15"/>
  <c r="H94" i="15"/>
  <c r="H96" i="15"/>
  <c r="H97" i="15"/>
  <c r="H100" i="15"/>
  <c r="H101" i="15"/>
  <c r="H102" i="15"/>
  <c r="H104" i="15"/>
  <c r="H105" i="15"/>
  <c r="H106" i="15"/>
  <c r="H108" i="15"/>
  <c r="H109" i="15"/>
  <c r="H110" i="15"/>
  <c r="H112" i="15"/>
  <c r="H113" i="15"/>
  <c r="H116" i="15"/>
  <c r="H117" i="15"/>
  <c r="H118" i="15"/>
  <c r="H120" i="15"/>
  <c r="H121" i="15"/>
  <c r="H122" i="15"/>
  <c r="H124" i="15"/>
  <c r="H125" i="15"/>
  <c r="H126" i="15"/>
  <c r="H128" i="15"/>
  <c r="O160" i="15"/>
  <c r="Y160" i="15" s="1"/>
  <c r="H161" i="15"/>
  <c r="X161" i="15" s="1"/>
  <c r="H163" i="15"/>
  <c r="X163" i="15" s="1"/>
  <c r="O164" i="15"/>
  <c r="Y164" i="15" s="1"/>
  <c r="H165" i="15"/>
  <c r="X165" i="15" s="1"/>
  <c r="H170" i="15"/>
  <c r="X170" i="15" s="1"/>
  <c r="O174" i="15"/>
  <c r="Y174" i="15" s="1"/>
  <c r="O181" i="15"/>
  <c r="Y181" i="15" s="1"/>
  <c r="H182" i="15"/>
  <c r="X182" i="15" s="1"/>
  <c r="H184" i="15"/>
  <c r="X184" i="15" s="1"/>
  <c r="O185" i="15"/>
  <c r="Y185" i="15" s="1"/>
  <c r="H186" i="15"/>
  <c r="X186" i="15" s="1"/>
  <c r="H188" i="15"/>
  <c r="X188" i="15" s="1"/>
  <c r="O193" i="15"/>
  <c r="Y193" i="15" s="1"/>
  <c r="H196" i="15"/>
  <c r="X196" i="15" s="1"/>
  <c r="O198" i="15"/>
  <c r="Y198" i="15" s="1"/>
  <c r="V200" i="15"/>
  <c r="Z200" i="15" s="1"/>
  <c r="O202" i="15"/>
  <c r="Y202" i="15" s="1"/>
  <c r="V160" i="15"/>
  <c r="Z160" i="15" s="1"/>
  <c r="V164" i="15"/>
  <c r="Z164" i="15" s="1"/>
  <c r="V181" i="15"/>
  <c r="Z181" i="15" s="1"/>
  <c r="V185" i="15"/>
  <c r="Z185" i="15" s="1"/>
  <c r="O189" i="15"/>
  <c r="Y189" i="15" s="1"/>
  <c r="D65" i="1"/>
  <c r="F65" i="1" s="1"/>
  <c r="D67" i="1"/>
  <c r="F67" i="1" s="1"/>
  <c r="D48" i="1"/>
  <c r="F48" i="1" s="1"/>
  <c r="D50" i="1"/>
  <c r="F50" i="1" s="1"/>
  <c r="D51" i="1"/>
  <c r="F51" i="1" s="1"/>
  <c r="F61" i="1"/>
  <c r="F57" i="1"/>
  <c r="C59" i="1"/>
  <c r="H51" i="15"/>
  <c r="H48" i="15"/>
  <c r="H43" i="15"/>
  <c r="H40" i="15"/>
  <c r="H35" i="15"/>
  <c r="H32" i="15"/>
  <c r="H27" i="15"/>
  <c r="H24" i="15"/>
  <c r="V159" i="15"/>
  <c r="Z159" i="15" s="1"/>
  <c r="V178" i="15"/>
  <c r="Z178" i="15" s="1"/>
  <c r="V198" i="15"/>
  <c r="Z198" i="15" s="1"/>
  <c r="O199" i="15"/>
  <c r="Y199" i="15" s="1"/>
  <c r="F56" i="1"/>
  <c r="V174" i="15"/>
  <c r="Z174" i="15" s="1"/>
  <c r="V189" i="15"/>
  <c r="Z189" i="15" s="1"/>
  <c r="V190" i="15"/>
  <c r="Z190" i="15" s="1"/>
  <c r="V194" i="15"/>
  <c r="Z194" i="15" s="1"/>
  <c r="H201" i="15"/>
  <c r="X201" i="15" s="1"/>
  <c r="F60" i="1"/>
  <c r="H69" i="15"/>
  <c r="H66" i="15"/>
  <c r="H84" i="15"/>
  <c r="V170" i="15"/>
  <c r="Z170" i="15" s="1"/>
  <c r="O195" i="15"/>
  <c r="Y195" i="15" s="1"/>
  <c r="H197" i="15"/>
  <c r="X197" i="15" s="1"/>
  <c r="D52" i="1"/>
  <c r="F52" i="1" s="1"/>
  <c r="F71" i="1"/>
  <c r="D49" i="1"/>
  <c r="F49" i="1" s="1"/>
</calcChain>
</file>

<file path=xl/sharedStrings.xml><?xml version="1.0" encoding="utf-8"?>
<sst xmlns="http://schemas.openxmlformats.org/spreadsheetml/2006/main" count="1369" uniqueCount="765">
  <si>
    <t>Ultimo dígito del Nit</t>
  </si>
  <si>
    <t>Enero</t>
  </si>
  <si>
    <t>Febrero</t>
  </si>
  <si>
    <t>Marzo</t>
  </si>
  <si>
    <t>Abril</t>
  </si>
  <si>
    <t>Mayo</t>
  </si>
  <si>
    <t>Junio</t>
  </si>
  <si>
    <t>Julio</t>
  </si>
  <si>
    <t>Agosto</t>
  </si>
  <si>
    <t>Octubre</t>
  </si>
  <si>
    <t>Noviembre</t>
  </si>
  <si>
    <t>Diciembre</t>
  </si>
  <si>
    <t>Septiembre</t>
  </si>
  <si>
    <t>Bimestre Marzo - Abril</t>
  </si>
  <si>
    <t>Bimestre Mayo - Junio</t>
  </si>
  <si>
    <t>Bimestre Julio - Agosto</t>
  </si>
  <si>
    <t>Bimestre Septiembre - Octubre</t>
  </si>
  <si>
    <t>Bimestre Noviembre - Diciembre</t>
  </si>
  <si>
    <t>Hasta el día</t>
  </si>
  <si>
    <t>Si el último dígito es</t>
  </si>
  <si>
    <t>PAGO PRIMERA CUOTA</t>
  </si>
  <si>
    <t>DECLARACiÓN Y PAGO SEGUNDA CUOTA:</t>
  </si>
  <si>
    <t>PAGO TERCERA CUOTA</t>
  </si>
  <si>
    <t>DECLARACiÓN Y PAGO PRIMERA CUOTA:</t>
  </si>
  <si>
    <t>PAGO SEGUNDA CUOTA:</t>
  </si>
  <si>
    <t>Grandes Contribuyentes</t>
  </si>
  <si>
    <t>Personas Jurídicas y demás contribuyentes</t>
  </si>
  <si>
    <t>Tipo de contribuyente</t>
  </si>
  <si>
    <t>Personas Naturales y Sucesiones llíquidas</t>
  </si>
  <si>
    <t>Impuesto a la Renta y Complementarios</t>
  </si>
  <si>
    <t>a</t>
  </si>
  <si>
    <t>DV</t>
  </si>
  <si>
    <t>DECLARACIONES INFORMATIVAS DE PRECIOS DE TRANSFERENCIA</t>
  </si>
  <si>
    <t>DECLARACION Y PAGO:</t>
  </si>
  <si>
    <t>Bim Enero-Febrero</t>
  </si>
  <si>
    <t>Bim Marzo - Abril</t>
  </si>
  <si>
    <t>Bim Mayo - Junio</t>
  </si>
  <si>
    <t>Bim Julio - Agosto</t>
  </si>
  <si>
    <t>Bim Septiembre - Octubre</t>
  </si>
  <si>
    <t>Bim Noviembre - Diciembre</t>
  </si>
  <si>
    <t>Mes de Enero</t>
  </si>
  <si>
    <t>Mes de Febrero</t>
  </si>
  <si>
    <t>Mes de Marzo</t>
  </si>
  <si>
    <t>Mes de Mayo</t>
  </si>
  <si>
    <t>Mes de Junio</t>
  </si>
  <si>
    <t>Mes de Julio</t>
  </si>
  <si>
    <t>Mes de Septiembre</t>
  </si>
  <si>
    <t>Mes de Octubre</t>
  </si>
  <si>
    <t>Mes de Noviembre</t>
  </si>
  <si>
    <t>Bimestre Enero -Febrero</t>
  </si>
  <si>
    <t>Nit del Contribuyente</t>
  </si>
  <si>
    <t>Nombre o Razón Social</t>
  </si>
  <si>
    <t xml:space="preserve"> </t>
  </si>
  <si>
    <t>INFORMACIÓN EXÓGENA</t>
  </si>
  <si>
    <t>Declaración bimestral del Impuesto sobre las Ventas</t>
  </si>
  <si>
    <t>Declaración mensual de Retenciones en la Fuente</t>
  </si>
  <si>
    <t>Precios de Transferencia</t>
  </si>
  <si>
    <t>GRANDES CONTRIBUYENTES:</t>
  </si>
  <si>
    <t>Último Dígito</t>
  </si>
  <si>
    <t xml:space="preserve">Fecha </t>
  </si>
  <si>
    <t>PERSONAS JURÍDICAS Y ASIMILADAS Y PERSONAS NATURALES:</t>
  </si>
  <si>
    <t>Últimos Dígitos</t>
  </si>
  <si>
    <t>Vence hoy</t>
  </si>
  <si>
    <t>Ya venció</t>
  </si>
  <si>
    <t>Si los 2 último dígitos son:</t>
  </si>
  <si>
    <t>JHONY JOSE DURAN Contador Público - Especialista en Tributaria</t>
  </si>
  <si>
    <t>IMPUESTO DE INDUSTRIA Y COMERCIO, AVISOS Y TABLEROS</t>
  </si>
  <si>
    <t xml:space="preserve">BIMESTRE </t>
  </si>
  <si>
    <t>HASTA EL DIA</t>
  </si>
  <si>
    <t>Por la cual se establecen los lugares, plazos y descuentos que aplican para cumplir con las obligaciones formales y sustanciales para la presentación de las declaraciones_x000D_ tributarias y el pago de los tributos administrados por la Dirección Distrital de Impuestos_x000D_ de Bogotá, DIB</t>
  </si>
  <si>
    <t>Parágrafo. Los contribuyentes y/o agentes retenedores que en forma simultánea, total y electrónicamente declaren y paguen el impuesto de industria y comercio y/o las retenciones a él asociadas, tendrá como plazo máximo para el cumplimiento de la obligación tributaria el último día hábil del mes siguiente al correspondiente período gravable, de lo contrario, deberán declarar y pagar en los plazos generales establecidos en el presente artículo.</t>
  </si>
  <si>
    <r>
      <rPr>
        <b/>
        <sz val="9"/>
        <color theme="1"/>
        <rFont val="Calibri"/>
        <family val="2"/>
        <scheme val="minor"/>
      </rPr>
      <t xml:space="preserve">Artículo 3°. Plazos para declarar y pagar el impuesto de industria, comercio, avisos y tableros por parte de los contribuyentes del régimen simplificado. </t>
    </r>
    <r>
      <rPr>
        <sz val="9"/>
        <color theme="1"/>
        <rFont val="Calibri"/>
        <family val="2"/>
        <scheme val="minor"/>
      </rPr>
      <t xml:space="preserve">Los contribuyentes, sujetos pasivos del régimen simplificado del impuesto de industria, comercio, avisos y tableros deben cumplir con la obligación de declarar y pagar el impuesto para el año gravable 2012, a más tardar el 19 de febrero de 2013 ante las entidades financieras autorizadas por la Secretaría Distrital de Hacienda. </t>
    </r>
  </si>
  <si>
    <t>Cúcuta</t>
  </si>
  <si>
    <t>Bogotá</t>
  </si>
  <si>
    <t>INDUSTRIA Y COMERCIO</t>
  </si>
  <si>
    <t>Si el último dígito del NIT es:</t>
  </si>
  <si>
    <t>Declaración y pago de única cuota hasta</t>
  </si>
  <si>
    <t>1 ó 2</t>
  </si>
  <si>
    <t>3 ó 4</t>
  </si>
  <si>
    <t>5 ó 6</t>
  </si>
  <si>
    <t>7 ú 8</t>
  </si>
  <si>
    <t>9 ó 0</t>
  </si>
  <si>
    <t>PRESENTACIÓN DE DECLARACIONES DE RETEICA</t>
  </si>
  <si>
    <t>RETENCIONES PRACTICADAS EN</t>
  </si>
  <si>
    <t>FECHA LIMITE PARA DECLARAR</t>
  </si>
  <si>
    <t>Concepto / Último digito del Nit</t>
  </si>
  <si>
    <t>Fecha límite para presentar</t>
  </si>
  <si>
    <t>Cali</t>
  </si>
  <si>
    <t>Expedición de Certificados de Retención en la fuente</t>
  </si>
  <si>
    <t>15 días calendarios siguientes al bimestre</t>
  </si>
  <si>
    <r>
      <rPr>
        <b/>
        <sz val="9"/>
        <color theme="1"/>
        <rFont val="Calibri"/>
        <family val="2"/>
        <scheme val="minor"/>
      </rPr>
      <t>Artículo 2°. Plazos para declarar y pagar el impuesto de industria y comercio, avisos y tableros por parte de los contribuyentes del régimen común y de los agentes retenedores</t>
    </r>
    <r>
      <rPr>
        <sz val="9"/>
        <color theme="1"/>
        <rFont val="Calibri"/>
        <family val="2"/>
        <scheme val="minor"/>
      </rPr>
      <t>, Los contribuyentes, sujetos pasivos pertenecientes al régimen común y los agentes retenedores del impuesto de industria y comercio, avisos y tableros, declararán y pagarán dicho tributo en los formularios establecidos por la Dirección Distrital de Impuestos de Bogotá, para cada bimestre del año gravable 2013, ante las entidades financieras autorizadas por la Secretaría Distrital de Hacienda en las siguientes fechas:</t>
    </r>
  </si>
  <si>
    <t>RESOLUCION No. SDH-000508</t>
  </si>
  <si>
    <t xml:space="preserve">INFORMACION EXÓGENA DISTRITAL </t>
  </si>
  <si>
    <t>RESOLUCION No. 296DDI-040880</t>
  </si>
  <si>
    <r>
      <rPr>
        <b/>
        <sz val="9"/>
        <color theme="1"/>
        <rFont val="Calibri"/>
        <family val="2"/>
        <scheme val="minor"/>
      </rPr>
      <t>Artículo 18°. Plazos para presentar la información</t>
    </r>
    <r>
      <rPr>
        <sz val="9"/>
        <color theme="1"/>
        <rFont val="Calibri"/>
        <family val="2"/>
        <scheme val="minor"/>
      </rPr>
      <t>, La entrega de la información exógena a que se refiere la presente resolución, deberá reportarse en los siguientes plazos</t>
    </r>
  </si>
  <si>
    <t>Último dígito de identificación</t>
  </si>
  <si>
    <t>Fecha límite</t>
  </si>
  <si>
    <t>INFORMACIÓN 2012</t>
  </si>
  <si>
    <t>CALENDARIO TRIBUTARIO 2013</t>
  </si>
  <si>
    <t>Municipio de Santiago de Cali</t>
  </si>
  <si>
    <t>Resolución 4131.1.12.6-0001 de 9 de enero de 2013</t>
  </si>
  <si>
    <t>Acuerdo 321 de 2011</t>
  </si>
  <si>
    <t>Información artículos 1 al 13</t>
  </si>
  <si>
    <t>Cámara de Comercio, Secretaría de tránsito y Registraduría</t>
  </si>
  <si>
    <t>MEDIOS MAGNÉTICOS 2012 RESOL 4131.1.12.6-2799 de 29 de Oct 2012</t>
  </si>
  <si>
    <t>INFORMACION EXÓGENA CALI</t>
  </si>
  <si>
    <t>RETEICA CALI</t>
  </si>
  <si>
    <t>IMPUESTO DE INDUSTRIA Y COMERCIO, AVISOS Y TABLEROS CALI 2012</t>
  </si>
  <si>
    <t>Responsable del Impuesto al Consumo Art 512-1 E.T.</t>
  </si>
  <si>
    <r>
      <t xml:space="preserve">Iva  </t>
    </r>
    <r>
      <rPr>
        <b/>
        <sz val="8"/>
        <color theme="1"/>
        <rFont val="Calibri"/>
        <family val="2"/>
        <scheme val="minor"/>
      </rPr>
      <t>(seleccionar en las casillas de selección el tipo de responsable)</t>
    </r>
  </si>
  <si>
    <t>Viernes 26 de Abril</t>
  </si>
  <si>
    <t>96-00</t>
  </si>
  <si>
    <t xml:space="preserve">Viernes 12 de Abril </t>
  </si>
  <si>
    <t>46-50</t>
  </si>
  <si>
    <t>Jueves 25 de Abril</t>
  </si>
  <si>
    <t>91-95</t>
  </si>
  <si>
    <t xml:space="preserve">Jueves 11 de Abril </t>
  </si>
  <si>
    <t>41-45</t>
  </si>
  <si>
    <t>Miércoles 24 de Abril</t>
  </si>
  <si>
    <t>86-90</t>
  </si>
  <si>
    <t xml:space="preserve">Miércoles 10 de Abril </t>
  </si>
  <si>
    <t>36-40</t>
  </si>
  <si>
    <t>Martes 23 de Abril</t>
  </si>
  <si>
    <t>81-85</t>
  </si>
  <si>
    <t xml:space="preserve">Martes 09 de Abril </t>
  </si>
  <si>
    <t>31-35</t>
  </si>
  <si>
    <t>Lunes 22 de Abril</t>
  </si>
  <si>
    <t>76-80</t>
  </si>
  <si>
    <t xml:space="preserve">Lunes 08 de Abril </t>
  </si>
  <si>
    <t>26-30</t>
  </si>
  <si>
    <t>Viernes 19 de Abril</t>
  </si>
  <si>
    <t>71-75</t>
  </si>
  <si>
    <t xml:space="preserve">Viernes 05 de Abril </t>
  </si>
  <si>
    <t xml:space="preserve">21-25 </t>
  </si>
  <si>
    <t>Jueves 18 de Abril</t>
  </si>
  <si>
    <t>66-70</t>
  </si>
  <si>
    <t xml:space="preserve">Jueves 04 de Abril </t>
  </si>
  <si>
    <t>16-20</t>
  </si>
  <si>
    <t>Miércoles 17 de Abril</t>
  </si>
  <si>
    <t>61-65</t>
  </si>
  <si>
    <t xml:space="preserve">Miércoles 03 de Abril </t>
  </si>
  <si>
    <t>11-15</t>
  </si>
  <si>
    <t>Martes 16 de Abril</t>
  </si>
  <si>
    <t>56-60</t>
  </si>
  <si>
    <t xml:space="preserve">Martes 02 de Abril </t>
  </si>
  <si>
    <t>06-10</t>
  </si>
  <si>
    <t>lunes 15 de Abril</t>
  </si>
  <si>
    <t>51-55</t>
  </si>
  <si>
    <t xml:space="preserve">lunes 01 de Abril </t>
  </si>
  <si>
    <t>01-05</t>
  </si>
  <si>
    <t>ENVIO DE INFORMACIÓN</t>
  </si>
  <si>
    <t>ÚLTIMOS DOS DÍGITOS DEL NIT</t>
  </si>
  <si>
    <t>Fecha</t>
  </si>
  <si>
    <t>ULT DIG</t>
  </si>
  <si>
    <t>Declaración Anual Vigencia 2013.</t>
  </si>
  <si>
    <t>Enero 31 de 2014</t>
  </si>
  <si>
    <t>Noviembre - Diciembre</t>
  </si>
  <si>
    <t>i p</t>
  </si>
  <si>
    <t>Noviembre 29 de 2013</t>
  </si>
  <si>
    <t>Septiembre - Octubre</t>
  </si>
  <si>
    <t>re</t>
  </si>
  <si>
    <t>Septiembre 30 de 2013</t>
  </si>
  <si>
    <t>Julio - Agosto</t>
  </si>
  <si>
    <t>gmf</t>
  </si>
  <si>
    <t>Julio 31 de 2013</t>
  </si>
  <si>
    <t>Mayo - Junio</t>
  </si>
  <si>
    <t>Mayo 31 de 2013</t>
  </si>
  <si>
    <t>Marzo - Abril</t>
  </si>
  <si>
    <t>Marzo 22 de 2013</t>
  </si>
  <si>
    <t>Enero - Febrero</t>
  </si>
  <si>
    <t>FECHA PAGO</t>
  </si>
  <si>
    <t>MES</t>
  </si>
  <si>
    <t>Nov-Dic</t>
  </si>
  <si>
    <t>Sep-Oct</t>
  </si>
  <si>
    <t>Jul-Ago</t>
  </si>
  <si>
    <t>May Jun</t>
  </si>
  <si>
    <t>Mar-Abr</t>
  </si>
  <si>
    <t>Ene-Feb</t>
  </si>
  <si>
    <t>MES/ULT DIG</t>
  </si>
  <si>
    <t>Pago bimestral de autoretencion Régimen Simplificado preferencial.</t>
  </si>
  <si>
    <t>Declaración y pago bimestral de retenciones y autoretenciones contribuyentes del régimen común.</t>
  </si>
  <si>
    <t>DIC</t>
  </si>
  <si>
    <t>NOV</t>
  </si>
  <si>
    <t>OCT</t>
  </si>
  <si>
    <t>SEPT</t>
  </si>
  <si>
    <t>AGS</t>
  </si>
  <si>
    <t>JUL</t>
  </si>
  <si>
    <t>JUN</t>
  </si>
  <si>
    <t>MAY</t>
  </si>
  <si>
    <t>ABR</t>
  </si>
  <si>
    <t>MAR</t>
  </si>
  <si>
    <t>FEB</t>
  </si>
  <si>
    <t>ENE</t>
  </si>
  <si>
    <t>Declaración mensual y pago de retenciones y autoretenciones Grandes Contribuyentes.</t>
  </si>
  <si>
    <t>*Plazos establecidos mediante Res. DSH Nº 002 de 2012 "Secretaría Distrital de Hacienda"</t>
  </si>
  <si>
    <t>Si los dos últimos dígito son:</t>
  </si>
  <si>
    <t>Si los ultimos digitos son</t>
  </si>
  <si>
    <t>y</t>
  </si>
  <si>
    <t>PRIMERA CUOTA</t>
  </si>
  <si>
    <t>SEGUNDA CUOTA:</t>
  </si>
  <si>
    <t>DECLARACION Y PAGO PRIMERA CUOTA</t>
  </si>
  <si>
    <t>PAGO SEGUNDA CUOTA</t>
  </si>
  <si>
    <t>DECLARACION INFORMATIVA:</t>
  </si>
  <si>
    <t>DOCUMENTACION COMPROBATORIA:</t>
  </si>
  <si>
    <t>jfenaca@gmail.com</t>
  </si>
  <si>
    <t>FECHA</t>
  </si>
  <si>
    <t>31 a 35</t>
  </si>
  <si>
    <t>36 a 40</t>
  </si>
  <si>
    <t>41 a 45</t>
  </si>
  <si>
    <t>46 a 50</t>
  </si>
  <si>
    <t>51 a 55</t>
  </si>
  <si>
    <t>56 a 60</t>
  </si>
  <si>
    <t>61 a 65</t>
  </si>
  <si>
    <t>66 a 70</t>
  </si>
  <si>
    <t>71 a 75</t>
  </si>
  <si>
    <t>76 a 80</t>
  </si>
  <si>
    <t>81 a 85</t>
  </si>
  <si>
    <t>86 a 90</t>
  </si>
  <si>
    <t>91 a 95</t>
  </si>
  <si>
    <t>96 a 00</t>
  </si>
  <si>
    <t>01 a 05</t>
  </si>
  <si>
    <t>06 a 10</t>
  </si>
  <si>
    <t>11 a 15</t>
  </si>
  <si>
    <t>16 a 20</t>
  </si>
  <si>
    <t>21 a 25</t>
  </si>
  <si>
    <t>26 a 30</t>
  </si>
  <si>
    <t>Impuesto sobre la renta para la Equidad CREE</t>
  </si>
  <si>
    <t>Impuesto a la riqueza y normalización tributaria</t>
  </si>
  <si>
    <t>Declaración anual de activos en el exterior</t>
  </si>
  <si>
    <t>Impuesto Nacional al Consumo</t>
  </si>
  <si>
    <t>Resultado</t>
  </si>
  <si>
    <t>Proceso</t>
  </si>
  <si>
    <t>Entrada</t>
  </si>
  <si>
    <t>Artículo 1.6.1.13.2.12.</t>
  </si>
  <si>
    <t>Artículo 1.6.1.13.2.11.</t>
  </si>
  <si>
    <t>al</t>
  </si>
  <si>
    <t>Dos últimos dígitos</t>
  </si>
  <si>
    <t>99 y 00</t>
  </si>
  <si>
    <t>85 y 86</t>
  </si>
  <si>
    <t>83 y 84</t>
  </si>
  <si>
    <t>77 y 78</t>
  </si>
  <si>
    <t>75 y 76</t>
  </si>
  <si>
    <t>67 y 68</t>
  </si>
  <si>
    <t>65 y 66</t>
  </si>
  <si>
    <t>63 y 64</t>
  </si>
  <si>
    <t>61 y 62</t>
  </si>
  <si>
    <t>59 y 60</t>
  </si>
  <si>
    <t>47 y 48</t>
  </si>
  <si>
    <t>43 y 44</t>
  </si>
  <si>
    <t>41 y 42</t>
  </si>
  <si>
    <t>35 y 36</t>
  </si>
  <si>
    <t>33 y 34</t>
  </si>
  <si>
    <t>29 y 30</t>
  </si>
  <si>
    <t>27 y 28</t>
  </si>
  <si>
    <t>25 y 26</t>
  </si>
  <si>
    <t>23 y 24</t>
  </si>
  <si>
    <t>21 y 22</t>
  </si>
  <si>
    <t>06 de octubre de 2017</t>
  </si>
  <si>
    <t>09 de octubre de 2017</t>
  </si>
  <si>
    <t>10 de octubre de 2017</t>
  </si>
  <si>
    <t>11 de octubre de 2017</t>
  </si>
  <si>
    <t>12 de octubre de 2017</t>
  </si>
  <si>
    <t>07 y 08</t>
  </si>
  <si>
    <t>13 de octubre de 2017</t>
  </si>
  <si>
    <t>05 y 06</t>
  </si>
  <si>
    <t>17 de octubre de 2017</t>
  </si>
  <si>
    <t>03 y 04</t>
  </si>
  <si>
    <t>18 de octubre de 2017</t>
  </si>
  <si>
    <t>01 y 02</t>
  </si>
  <si>
    <t>19 de octubre de 2017</t>
  </si>
  <si>
    <t>Artículo 1.6.1.3.2.22.</t>
  </si>
  <si>
    <t>Artículo 1.6.1.13.2.23.</t>
  </si>
  <si>
    <r>
      <t xml:space="preserve">Artículo 1.6.1.13.2.24. Plazo para presentar la declaración anual de activos en el exterior. </t>
    </r>
    <r>
      <rPr>
        <sz val="10"/>
        <color theme="1"/>
        <rFont val="Calibri"/>
        <family val="2"/>
        <scheme val="minor"/>
      </rPr>
      <t>Los plazos para presentar la declaración anual de activos en el exterior, de que trata los artículos 42 y 43 de la Ley 1739 de 2014, vencen en las fechas que se indican a continuación, atendiendo el tipo de declarante y el último o dos dígitos del NIT que conste en el certificado del Registro Único Tributario (RUT), sin tener en cuenta el dígito de verificación, así:</t>
    </r>
  </si>
  <si>
    <t>Artículo 1.6.1.13.2.24.</t>
  </si>
  <si>
    <t>Grandes contribuyentes</t>
  </si>
  <si>
    <t>Personas Jurídicas</t>
  </si>
  <si>
    <t>Personas Naturales</t>
  </si>
  <si>
    <t xml:space="preserve">Artículo 1.6.1.13.2.26. </t>
  </si>
  <si>
    <t>Artículo 1.6.1.13.2.32.</t>
  </si>
  <si>
    <t>Artículo 1.6.1.13.2.28.</t>
  </si>
  <si>
    <t>Artículo 1.6.1.13.2.34.</t>
  </si>
  <si>
    <t>Declaración simplificada del impuesto nacional al consumo</t>
  </si>
  <si>
    <r>
      <rPr>
        <b/>
        <sz val="8"/>
        <color theme="1"/>
        <rFont val="Calibri"/>
        <family val="2"/>
        <scheme val="minor"/>
      </rPr>
      <t>Tipo de responsable :</t>
    </r>
    <r>
      <rPr>
        <sz val="8"/>
        <color theme="1"/>
        <rFont val="Calibri"/>
        <family val="2"/>
        <scheme val="minor"/>
      </rPr>
      <t xml:space="preserve">   Con ingresos brutos en el año gravable anterior --&gt;  </t>
    </r>
  </si>
  <si>
    <t>Retención en la Fuente y Autorretención especial de Renta</t>
  </si>
  <si>
    <t>Artículo 1.6.1.13.2.35.</t>
  </si>
  <si>
    <t>18 de Abril de 2017</t>
  </si>
  <si>
    <t>19 de Abril de 2017</t>
  </si>
  <si>
    <t>20 de Abril de 2017</t>
  </si>
  <si>
    <t>21 de Abril de 2017</t>
  </si>
  <si>
    <t>24 de Abril de 2017</t>
  </si>
  <si>
    <t>25 de Abril de 2017</t>
  </si>
  <si>
    <t>26 de Abril de 2017</t>
  </si>
  <si>
    <t>27 de Abril de 2017</t>
  </si>
  <si>
    <t>28 de Abril de 2017</t>
  </si>
  <si>
    <t>02 de Mayo de 2017</t>
  </si>
  <si>
    <t>03 de Mayo de 2017</t>
  </si>
  <si>
    <t>04 de Mayo de 2017</t>
  </si>
  <si>
    <t>05 de Mayo de 2017</t>
  </si>
  <si>
    <t>08 de Mayo de 2017</t>
  </si>
  <si>
    <t>09 de Mayo de 2017</t>
  </si>
  <si>
    <t>10 de Mayo de 2017</t>
  </si>
  <si>
    <t>11 de Mayo de 2017</t>
  </si>
  <si>
    <t>12 de Mayo de 2017</t>
  </si>
  <si>
    <t>15 de Mayo de 2017</t>
  </si>
  <si>
    <t>16 de Mayo de 2017</t>
  </si>
  <si>
    <r>
      <rPr>
        <b/>
        <sz val="8"/>
        <color theme="1"/>
        <rFont val="Calibri"/>
        <family val="2"/>
        <scheme val="minor"/>
      </rPr>
      <t>Convenciones :</t>
    </r>
    <r>
      <rPr>
        <sz val="8"/>
        <color theme="1"/>
        <rFont val="Calibri"/>
        <family val="2"/>
        <scheme val="minor"/>
      </rPr>
      <t xml:space="preserve">    Próxima a vencer</t>
    </r>
  </si>
  <si>
    <t xml:space="preserve">Artículo 1.6.1.13.2.43. </t>
  </si>
  <si>
    <t>Autorretención especial a título de Renta</t>
  </si>
  <si>
    <t>46 al 50  27 de abril de 2017</t>
  </si>
  <si>
    <t>41 al 45  28 de abril de 2017</t>
  </si>
  <si>
    <t xml:space="preserve">36 al 40  02 de mayo de 2017 </t>
  </si>
  <si>
    <t xml:space="preserve">31 al 35  03 de mayo de 2017 </t>
  </si>
  <si>
    <t>26 al 30  04 de mayo de 2017</t>
  </si>
  <si>
    <t>21 al 25  05 de mayo de 2017</t>
  </si>
  <si>
    <t>16 al 20  08 de mayo de 2017</t>
  </si>
  <si>
    <t>11 al 15  09 de mayo de 2017</t>
  </si>
  <si>
    <t>06 al 10  10 de mayo de 2017</t>
  </si>
  <si>
    <t>01 al 05  11 de mayo de 2017</t>
  </si>
  <si>
    <t>ÚLTIMOS DÍGITOS</t>
  </si>
  <si>
    <t>17 de abril de 2018</t>
  </si>
  <si>
    <t>20 de abril de 2018</t>
  </si>
  <si>
    <t>18 de abril de 2018</t>
  </si>
  <si>
    <t>19 de abril de 2018</t>
  </si>
  <si>
    <t>23 de abril de 2018</t>
  </si>
  <si>
    <t>24 de abril de 2018</t>
  </si>
  <si>
    <t>25 de abril de 2018</t>
  </si>
  <si>
    <t>26 de abril de 2018</t>
  </si>
  <si>
    <t>27 de abril de 2018</t>
  </si>
  <si>
    <t>30 de abril de 2018</t>
  </si>
  <si>
    <t>02 de mayo de 2018</t>
  </si>
  <si>
    <t>03 de mayo de 2018</t>
  </si>
  <si>
    <t>04 de mayo de 2018</t>
  </si>
  <si>
    <t>07 de mayo de 2018</t>
  </si>
  <si>
    <t>08 de mayo de 2018</t>
  </si>
  <si>
    <t>Artículo 1.6.1.13.2.15.</t>
  </si>
  <si>
    <t>16 de octubre de 2018</t>
  </si>
  <si>
    <t>17 de octubre de 2018</t>
  </si>
  <si>
    <t xml:space="preserve">Artículo 1.6.1.3.2.22. Plazos. El plazo para presentar la declaración del Impuesto sobre la Renta para la Equidad – CREE </t>
  </si>
  <si>
    <t>10 de diciembre de 2018</t>
  </si>
  <si>
    <t>11 de diciembre de 2018</t>
  </si>
  <si>
    <t>12 de diciembre de 2018</t>
  </si>
  <si>
    <t>13 de diciembre de 2018</t>
  </si>
  <si>
    <t>14 de diciembre de 2018</t>
  </si>
  <si>
    <t>17 de diciembre de 2018</t>
  </si>
  <si>
    <t>18 de diciembre de 2018</t>
  </si>
  <si>
    <t>19 de diciembre de 2018</t>
  </si>
  <si>
    <t>20 de diciembre de 2018</t>
  </si>
  <si>
    <t>21 de diciembre de 2018</t>
  </si>
  <si>
    <t>Para 2018 ya no se presenta</t>
  </si>
  <si>
    <r>
      <rPr>
        <b/>
        <sz val="10"/>
        <color rgb="FFFF0000"/>
        <rFont val="Calibri"/>
        <family val="2"/>
        <scheme val="minor"/>
      </rPr>
      <t xml:space="preserve">Artículo 1.6.1.13.2.34. Plazos declaración simplificada del impuesto nacional al consumo. </t>
    </r>
    <r>
      <rPr>
        <sz val="10"/>
        <color rgb="FFFF0000"/>
        <rFont val="Calibri"/>
        <family val="2"/>
        <scheme val="minor"/>
      </rPr>
      <t xml:space="preserve">Los vencimientos para la presentación de dicha declaración se definen de acuerdo al último dígito del NIT, que conste en el certificado del Registro Único Tributario (RUT), sin tener en cuenta el dígito de verificación, y serán para el año gravable 2017, los siguientes plazos:
</t>
    </r>
  </si>
  <si>
    <r>
      <t xml:space="preserve">Artículo 1.6.1.13.2.33. Declaración mensual de retenciones y autorretenciones en la fuente de que trata el artículo 1.2.6.6. de este Decreto. </t>
    </r>
    <r>
      <rPr>
        <sz val="11"/>
        <color theme="1"/>
        <rFont val="Calibri"/>
        <family val="2"/>
        <scheme val="minor"/>
      </rPr>
      <t>Los agentes de retención del impuesto sobre la• renta y complementario y/o impuesto de timbre, y/o impuesto sobre las ventas a que se refieren los artículos 368, 368-1, 368-2, 437-2 Y 518 del Estatuto Tributario, así como los autorretenedores del impuesto sobre la renta y complementario de que trata el artículo 1.2.6.6. de este Decreto deberán declarar y pagar las retenciones y autorretenciones efectuadas en cada mes, en el formulario prescrito por la Unidad Administrativa Especial Dirección de Impuestos y Aduanas Nacionales - DIAN. 
Los plazos para presentar las declaraciones de retención en la fuente y autorretenciones correspondientes a los meses del año 2018 y cancelar el valor respectivo, vencen en las fechas del mismo año que se indican a continuación, excepto la referida al mes de diciembre que vence en el año 2019.</t>
    </r>
    <r>
      <rPr>
        <b/>
        <sz val="11"/>
        <color theme="1"/>
        <rFont val="Calibri"/>
        <family val="2"/>
        <scheme val="minor"/>
      </rPr>
      <t xml:space="preserve">
</t>
    </r>
  </si>
  <si>
    <t>Periodo</t>
  </si>
  <si>
    <t>IMPUESTO NACIONAL A LA GASOLINA Y AL ACPM</t>
  </si>
  <si>
    <r>
      <t xml:space="preserve">Artículo 1.6.1.13.2.37. Declaración mensual del impuesto nacional a la gasolina y al ACPM. </t>
    </r>
    <r>
      <rPr>
        <sz val="10"/>
        <color theme="1"/>
        <rFont val="Calibri"/>
        <family val="2"/>
        <scheme val="minor"/>
      </rPr>
      <t xml:space="preserve">Los responsables del impuesto nacional a la gasolina y al ACPM declararán y pagarán el impuesto correspondiente a los períodos gravables del año 2018 en las fechas de vencimiento siguientes: </t>
    </r>
  </si>
  <si>
    <t>Impuesto al Patrimonio</t>
  </si>
  <si>
    <t>PLAZOS PARA EXPEDIR CERTIFICADOS</t>
  </si>
  <si>
    <t>Mes de Abril</t>
  </si>
  <si>
    <t>Mes de Agosto</t>
  </si>
  <si>
    <t>Mes de Diciembre</t>
  </si>
  <si>
    <t xml:space="preserve">COCUMENTACION COMPROBATORIA: </t>
  </si>
  <si>
    <t>1. Informe Local y el Informe Maestro</t>
  </si>
  <si>
    <t>2. Informe País por el grupo multinacional</t>
  </si>
  <si>
    <t>09 de mayo de 2018</t>
  </si>
  <si>
    <t>10 de mayo de 2018</t>
  </si>
  <si>
    <t>11 de mayo de 2018</t>
  </si>
  <si>
    <t>15 de mayo de 2018</t>
  </si>
  <si>
    <t>16 de mayo de 2018</t>
  </si>
  <si>
    <t xml:space="preserve">Cel 321-4436145  Telf (097)5710273 Cl 10 5-84 Of 702 Edif SEADE Cúcuta-Colombia </t>
  </si>
  <si>
    <t>Si el ultimo digito es</t>
  </si>
  <si>
    <t>ARTICULO 3°. Plazo para presentar la información. El plazo para presentar el “Reporte de Conciliación Fiscal Anexo Formulario 110”, Formato modelo número 2516, correspondiente al periodo gravable 2017 vence entre el 24 de octubre y el 7 de noviembre de 2018, atendiendo el último dígito del Número de Identificación Tributaria -NIT del declarante que conste en el Certificado del Registro Único Tributario - RUT, sin tener en cuenta el dígito de verificación, así</t>
  </si>
  <si>
    <t xml:space="preserve"> artículo 368-2 del ET</t>
  </si>
  <si>
    <t>Y que tengan la calidad de comerciantes</t>
  </si>
  <si>
    <t>Patrimonio o Ingresos brutos año anterior &gt; a</t>
  </si>
  <si>
    <t>Art 600 ET</t>
  </si>
  <si>
    <t>Persona Natural Agente de Retención por honorarios, comisiones, servicios, arrendamientos, rendimientos financieros y compras</t>
  </si>
  <si>
    <t>Periodicidad de IVA Art. 600 ET</t>
  </si>
  <si>
    <t>Salario mínimo integral  (10 SMMLV)</t>
  </si>
  <si>
    <t>Agente Rete Ica Cúcuta</t>
  </si>
  <si>
    <t>Auxilio de transporte 2018</t>
  </si>
  <si>
    <t>Art 437-1 ET</t>
  </si>
  <si>
    <t>Tarifa Rete IVA residentes</t>
  </si>
  <si>
    <t>Salario mínimo 2018</t>
  </si>
  <si>
    <t>DR 782 de 1996 Art 1</t>
  </si>
  <si>
    <t>Servicios</t>
  </si>
  <si>
    <t>Compras</t>
  </si>
  <si>
    <t>Reajuste Fiscal Activos Fijos</t>
  </si>
  <si>
    <t>Bases mínimas de Retención en la fuente</t>
  </si>
  <si>
    <t>Art 188 E.T.</t>
  </si>
  <si>
    <t>Art 6 del DR 3019/89</t>
  </si>
  <si>
    <t>Deducción por activos fijos menores a 50 UVT</t>
  </si>
  <si>
    <t>Art 596 #6 ET</t>
  </si>
  <si>
    <t>Firma de contador si Ing y Pat &gt; 100.000 UVT</t>
  </si>
  <si>
    <t>artículo 639 del ET</t>
  </si>
  <si>
    <t>Sanción Mínima 10 UVT</t>
  </si>
  <si>
    <t xml:space="preserve"> ley 43 del 90, artículo 13, parágrafo 2</t>
  </si>
  <si>
    <t>Resolución 63 del 2017</t>
  </si>
  <si>
    <t>UVT año 2018</t>
  </si>
  <si>
    <t>Básicos</t>
  </si>
  <si>
    <t>Dato</t>
  </si>
  <si>
    <t>Norma</t>
  </si>
  <si>
    <t>Portada</t>
  </si>
  <si>
    <t>JHONY JOSE DURAN C.P. - Especialista y Magister en Tributaria</t>
  </si>
  <si>
    <t>Cel 321-4436145  Telf (097)5710273 Cúcuta-Colombia  CL 10 5-84 Of 702 Edif SEADE</t>
  </si>
  <si>
    <t>Activos base para Obligados a tener Revisor Fiscal distintos a los señalados Art 203 Ccio</t>
  </si>
  <si>
    <t>PROGRAMADOR OBLIGACIONES TRIBUTARIAS AÑO 2019 DR 2442 de 2018</t>
  </si>
  <si>
    <t>Decreto 2442 de 28 de Diciembre de 2018</t>
  </si>
  <si>
    <t>Por el cual se reglamentan los artículos 260-5, 260-9,356-3,364-5,378,381,512-1, 512-6, 555-2, 579, 579-2, 580, 588, 591, 592, 595, 596, 598, 599, 600, 602, 603, 605, 606, 607, 622, 800, 803, 811, 876, 877 Y 910 del Estatuto Tributario, 170 de la Ley 1607 de 2012, 221, 222 Y 238 de la Ley 1819 de 2016 y se sustituyen unos artículos de la Sección 2 del Capítulo 13 del Título 1 de la Parte 6 del Libro 1 del Decreto 1625 de 2016 Único Reglamentario en Materia Tributaria</t>
  </si>
  <si>
    <r>
      <rPr>
        <b/>
        <sz val="10"/>
        <color theme="1"/>
        <rFont val="Calibri"/>
        <family val="2"/>
        <scheme val="minor"/>
      </rPr>
      <t xml:space="preserve">Artículo 1.6.1.13.2.11. Grandes contribuyentes. </t>
    </r>
    <r>
      <rPr>
        <sz val="10"/>
        <color theme="1"/>
        <rFont val="Calibri"/>
        <family val="2"/>
        <scheme val="minor"/>
      </rPr>
      <t xml:space="preserve">Declaración del impuesto. sobre la renta y complementario. L as personas naturales, jurídicas o asimiladas. los contribuyentes del régimen tributario especial, y demás entidades calificadas para los años 2019 y 2020 como "Grandes Contribuyentes" por la Unidad Administrativa Especial Dirección de Impuestos y Aduanas Nacionales -OIAN, de conformidad con lo dispuesto en el artículo 562 del Estatuto Tributario, deberán presentar la declaración del impuesto sobre la renta y complementario por el año gravable 2018. en el formulario prescrito por la Unidad Administrativa Especial Dirección de Impuestos y Aduanas Nacionales -DIAN.
El plazo para la presentación del impuesto sobre la renta y complementario de que trata el presente artículo vence entre el </t>
    </r>
    <r>
      <rPr>
        <b/>
        <sz val="10"/>
        <color rgb="FFFF0000"/>
        <rFont val="Calibri"/>
        <family val="2"/>
        <scheme val="minor"/>
      </rPr>
      <t>nueve (9) y el veinticinco (25) de abril</t>
    </r>
    <r>
      <rPr>
        <sz val="10"/>
        <color theme="1"/>
        <rFont val="Calibri"/>
        <family val="2"/>
        <scheme val="minor"/>
      </rPr>
      <t xml:space="preserve"> del mismo año, atendiendo el último dígito del Número de Identificación Tributaria -NIT del declarante que conste en el Certificado del Registro Único Tributario -RUT, sin tener en cuenta el dígito de verificación. así:
Estos contribuyentes deberán cancelar el valor total del impuesto a pagar y el anticipo en tres (3) cuotas a más tardar en las siguientes fechas:
</t>
    </r>
  </si>
  <si>
    <t>10 de abril de 2019</t>
  </si>
  <si>
    <t>11 de abril de 2019</t>
  </si>
  <si>
    <t>15 de abril de 2019</t>
  </si>
  <si>
    <t>24 de abril de 2019</t>
  </si>
  <si>
    <t>9 de abril de 2019</t>
  </si>
  <si>
    <t>13 de junio de 2019</t>
  </si>
  <si>
    <t>14 de junio de 2019</t>
  </si>
  <si>
    <t>17 de junio de 2019</t>
  </si>
  <si>
    <t>19 de junio de 2019</t>
  </si>
  <si>
    <t>20 de junio de 2019</t>
  </si>
  <si>
    <t>21 de junio de 2019</t>
  </si>
  <si>
    <t>25 de junio de 2019</t>
  </si>
  <si>
    <r>
      <rPr>
        <b/>
        <sz val="10"/>
        <color theme="1"/>
        <rFont val="Calibri"/>
        <family val="2"/>
        <scheme val="minor"/>
      </rPr>
      <t xml:space="preserve">Artículo 1.6.1.13.2.12. Personas jurídicas y demás contribuyentes. Declaración de renta y complementario. </t>
    </r>
    <r>
      <rPr>
        <sz val="10"/>
        <color theme="1"/>
        <rFont val="Calibri"/>
        <family val="2"/>
        <scheme val="minor"/>
      </rPr>
      <t>Por el año gravable 2018 deberán presentar la declaración del impuesto sobre la renta y complementario en el formulario prescrito por la Unidad Administrativa Especial Dirección de Impuestos y Aduanas Nacionales -DIAN, las demás personas jurídicas, sociedades y asimiladas, así como los contribuyentes del Régimen Tributario Especial, diferentes a los calificados como "Grandes Contribuyentes".
Los plazos para presentar la declaración del impuesto sobre la renta y complementario y para cancelar en dos (2) cuotas iguales el valor a pagar por concepto del impuesto de renta, el anticipo del impuesto sobre la renta y la sobretasa, vencen en las fechas del mismo año que se indican a continuación, atendiendo para la presentación y pago de la primera cuota los dos (2) últimos dígitos del Número de Identificación Tributaria -NIT del declarante que conste en el certificado del Registro Único Tributario -RUT, sin tener en cuenta el dígito de verificación, y para el pago de la segunda cuota atendiendo el último dígito del NIT del declarante, sin tener en cuenta el dígito de verificación así:</t>
    </r>
  </si>
  <si>
    <t>12 de abril de 2019</t>
  </si>
  <si>
    <t>16 de abril de 2019</t>
  </si>
  <si>
    <t>22 de abril de 2019</t>
  </si>
  <si>
    <t>23 de abril de 2019</t>
  </si>
  <si>
    <t>25 de abril de 2019</t>
  </si>
  <si>
    <t>9 de mayo de 2019</t>
  </si>
  <si>
    <t>10 de mayo de 2019</t>
  </si>
  <si>
    <t>12 de junio de 2019</t>
  </si>
  <si>
    <t>11 de junio de 2019</t>
  </si>
  <si>
    <r>
      <rPr>
        <b/>
        <sz val="10"/>
        <color theme="1"/>
        <rFont val="Calibri"/>
        <family val="2"/>
        <scheme val="minor"/>
      </rPr>
      <t xml:space="preserve">Artículo 1.6.1.13.2.15. Declaración de renta y complementario de personas naturales y sucesiones ilíquidas. </t>
    </r>
    <r>
      <rPr>
        <sz val="10"/>
        <color theme="1"/>
        <rFont val="Calibri"/>
        <family val="2"/>
        <scheme val="minor"/>
      </rPr>
      <t>Por el año gravable 2018 deberán presentar la declaración del impuesto sobre la renta y complementario, por el sistema cedular, en el formulario prescrito por la Unidad Administrativa Especial Dirección de Impuestos y Aduanas Nacionales -DIAN, las personas naturales y las sucesiones ilíquidas, con excepción de las señaladas en el artículo 1.6.1.13.2.7. del presente Decreto, así como los bienes destinados a fines especiales en virtud de donaciones y asignaciones modales, cuyos donatarios o asignatarios no los usufructúen personalmente, y las personas naturales no residentes que obtengan renta a través de establecimientos permanentes en Colombia.
El plazo para presentar la declaración y cancelar, en una sola cuota, el valor a pagar por concepto del impuesto sobre la renta y complementario y del anticipo, vence en las fechas del mismo año que se indican a continuación, atendiendo los dos últimos dígitos del Número de Identificación Tributaria -NIT del declarante que conste en el certificado del Registro Único Tributario -RUT, sin tener en cuenta el dígito de verificación, así:</t>
    </r>
  </si>
  <si>
    <t>11 de octubre de 2019</t>
  </si>
  <si>
    <t>09 Y 10</t>
  </si>
  <si>
    <t>10 de octubre de 2019</t>
  </si>
  <si>
    <t>11 Y 12</t>
  </si>
  <si>
    <t>9 de octubre de 2019</t>
  </si>
  <si>
    <t>13 Y 14</t>
  </si>
  <si>
    <t>8 de octubre de 2019</t>
  </si>
  <si>
    <t>15 Y 16</t>
  </si>
  <si>
    <t>7 de octubre de 2019</t>
  </si>
  <si>
    <t>17 Y 18</t>
  </si>
  <si>
    <t>4 de octubre de 2019</t>
  </si>
  <si>
    <t>19 Y 20</t>
  </si>
  <si>
    <t>3 de octubre de 2019</t>
  </si>
  <si>
    <t>2 de octubre de 2019</t>
  </si>
  <si>
    <t>1 de octubre de 2019</t>
  </si>
  <si>
    <t>30 de septiembre de 2019</t>
  </si>
  <si>
    <t>27 de septiembre de 2019</t>
  </si>
  <si>
    <t>26 de septiembre de 2019</t>
  </si>
  <si>
    <t>31 Y 32</t>
  </si>
  <si>
    <t>24 de septiembre de 2019</t>
  </si>
  <si>
    <t>23 de septiembre de 2019</t>
  </si>
  <si>
    <t>37 Y 38</t>
  </si>
  <si>
    <t>20 de septiembre de 2019</t>
  </si>
  <si>
    <t>39 Y 40</t>
  </si>
  <si>
    <t>19 de septiembre de 2019</t>
  </si>
  <si>
    <t>18 de septiembre de 2019</t>
  </si>
  <si>
    <t>17 de septiembre de 2019</t>
  </si>
  <si>
    <t>45 v 46</t>
  </si>
  <si>
    <t>16 de septiembre de 2019</t>
  </si>
  <si>
    <t>13 de septiembre de 2019</t>
  </si>
  <si>
    <t>49y 50</t>
  </si>
  <si>
    <t>12 de septiembre de 2019</t>
  </si>
  <si>
    <t>51 Y 52</t>
  </si>
  <si>
    <t>11 de septiembre de 2019</t>
  </si>
  <si>
    <t>53 Y 54</t>
  </si>
  <si>
    <t>10 de septiembre de 2019</t>
  </si>
  <si>
    <t>55 Y 56</t>
  </si>
  <si>
    <t>9 de septiembre de 2019</t>
  </si>
  <si>
    <t>57 Y 58</t>
  </si>
  <si>
    <t>6 de septiembre de 2019</t>
  </si>
  <si>
    <t>5 de septiembre de 2019</t>
  </si>
  <si>
    <t>4 de septiembre de 2019</t>
  </si>
  <si>
    <t>3 de septiembre de 2019</t>
  </si>
  <si>
    <t>2 de septiembre de 2019</t>
  </si>
  <si>
    <t>30 de agosto de 2019</t>
  </si>
  <si>
    <t>69 Y 70</t>
  </si>
  <si>
    <t>29 de agosto de 2019</t>
  </si>
  <si>
    <t>71 Y 72</t>
  </si>
  <si>
    <t>28 de agosto de 2019</t>
  </si>
  <si>
    <t>73 Y 74</t>
  </si>
  <si>
    <t>27 de agosto de 2019</t>
  </si>
  <si>
    <t>26 de agosto de 2019</t>
  </si>
  <si>
    <t>23 de agosto de 2019</t>
  </si>
  <si>
    <t>79 Y 80</t>
  </si>
  <si>
    <t>22 de agosto de 2019</t>
  </si>
  <si>
    <t>81 Y 82</t>
  </si>
  <si>
    <t>21 de agosto de 2019</t>
  </si>
  <si>
    <t>20 de agosto de 2019</t>
  </si>
  <si>
    <t>16 de agosto de 2019</t>
  </si>
  <si>
    <t>87 Y 88</t>
  </si>
  <si>
    <t>15 de agosto de 2019</t>
  </si>
  <si>
    <t>89 Y 90</t>
  </si>
  <si>
    <t>14 de agosto de 2019</t>
  </si>
  <si>
    <t>91 Y 92</t>
  </si>
  <si>
    <t>13 de agosto de 2019</t>
  </si>
  <si>
    <t>93 Y 94</t>
  </si>
  <si>
    <t>12 de agosto de 2019</t>
  </si>
  <si>
    <t>95 Y 96</t>
  </si>
  <si>
    <t>9 de agosto de 2019</t>
  </si>
  <si>
    <t>97 Y 98</t>
  </si>
  <si>
    <t>8 de agosto de 2019</t>
  </si>
  <si>
    <t>6 de agosto de 2019</t>
  </si>
  <si>
    <t>15 de octubre de 2018</t>
  </si>
  <si>
    <t>25 de septiembre de 2019</t>
  </si>
  <si>
    <t>CREE no aplica 2019</t>
  </si>
  <si>
    <r>
      <t xml:space="preserve">Artículo 1.6.1.13.2.30. Declaración y pago bimestral del impuesto sobre las ventas. </t>
    </r>
    <r>
      <rPr>
        <sz val="11"/>
        <color theme="1"/>
        <rFont val="Calibri"/>
        <family val="2"/>
        <scheme val="minor"/>
      </rPr>
      <t xml:space="preserve">Los responsables de este impuesto, grandes contribuyentes y aquellas personas jurídicas y naturales cuyos ingresos brutos, a treinta y uno (31) de diciembre del año gravable 2018, sean iguales o superiores a noventa y dos mil </t>
    </r>
    <r>
      <rPr>
        <b/>
        <sz val="11"/>
        <color rgb="FFFF0000"/>
        <rFont val="Calibri"/>
        <family val="2"/>
        <scheme val="minor"/>
      </rPr>
      <t xml:space="preserve">(92.000) UVT, ($3.050.352.000) </t>
    </r>
    <r>
      <rPr>
        <sz val="11"/>
        <color theme="1"/>
        <rFont val="Calibri"/>
        <family val="2"/>
        <scheme val="minor"/>
      </rPr>
      <t xml:space="preserve">así como los responsables de que tratan los artículos 477 y 481 del Estatuto Tributario, deberán presentar la declaración del impuesto sobre las ventas y pagar de manera bimestral utilizando el formulario prescrito por la Unidad Administrativa Especial Dirección de Impuestos y Aduanas Nacionales -DIAN.
Los períodos bimestrales son: enero-febrero; marzo-abril; mayo-junio; julioagosto; septiembre-octubre y noviembre-diciembre.
Los vencimientos, de acuerdo con el último dígito del Número de Identificación Tributaria -NIT del responsable, que conste en el certificado del Registro Único Tributario -RUT, sin tener en cuenta el dígito de verificación, serán los siguientes:
</t>
    </r>
  </si>
  <si>
    <r>
      <t xml:space="preserve">Artículo 1.6.1.13.2.32. Declaración y pago bimestral del impuesto nacional al consumo. </t>
    </r>
    <r>
      <rPr>
        <sz val="11"/>
        <color theme="1"/>
        <rFont val="Calibri"/>
        <family val="2"/>
        <scheme val="minor"/>
      </rPr>
      <t>Los responsables del impuesto nacional al consumo de que trata el artículo 512-1 y siguientes del Estatuto Tributario, deberán presentar y pagar la declaración del impuesto nacional al consumo de manera bimestral, utilizando el formulario prescrito por la Unidad Administrativa Especial Dirección de Impuestos y Aduanas Nacionales -DlAN.
Los vencimientos, de acuerdo con el último dígito del Número de Identificación Tributaria -NIT del responsable, que conste en el certificado del Registro Único Tributario -RUT, sin tener en cuenta el dígito de verificación, serán los siguientes:</t>
    </r>
  </si>
  <si>
    <t>8 de febrero de 2019</t>
  </si>
  <si>
    <t>8 de marzo de 2019</t>
  </si>
  <si>
    <t>11 de febrero de 2019</t>
  </si>
  <si>
    <t>11 de marzo de 2019</t>
  </si>
  <si>
    <t>12 de febrero de 2019</t>
  </si>
  <si>
    <t>12 de marzo de 2019</t>
  </si>
  <si>
    <t>13 de febrero de 2019</t>
  </si>
  <si>
    <t>13 de marzo de 2019</t>
  </si>
  <si>
    <t>14 de febrero de 2019</t>
  </si>
  <si>
    <t>14 de marzo de 2019</t>
  </si>
  <si>
    <t>15 de febrero de 2019</t>
  </si>
  <si>
    <t>15 de marzo de 2019</t>
  </si>
  <si>
    <t>18 de febrero de 2019</t>
  </si>
  <si>
    <t>18 de marzo de 2019</t>
  </si>
  <si>
    <t>19 de febrero de 2019</t>
  </si>
  <si>
    <t>19 de marzo de 2019</t>
  </si>
  <si>
    <t>20 de febrero de 2019</t>
  </si>
  <si>
    <t>20 de marzo de 2019</t>
  </si>
  <si>
    <t>21 de febrero de 2019</t>
  </si>
  <si>
    <t>21 de marzo de 2019</t>
  </si>
  <si>
    <t>9 de julio de 2019</t>
  </si>
  <si>
    <t>10 de julio de 2019</t>
  </si>
  <si>
    <t>13 de mayo de 2019</t>
  </si>
  <si>
    <t>11 de julio de 2019</t>
  </si>
  <si>
    <t>14 de mayo de 2019</t>
  </si>
  <si>
    <t>12 de julio de 2019</t>
  </si>
  <si>
    <t>15 de mayo de 2019</t>
  </si>
  <si>
    <t>15 de julio de 2019</t>
  </si>
  <si>
    <t>16 de mayo de 2019</t>
  </si>
  <si>
    <t>18 de juniO de 2019</t>
  </si>
  <si>
    <t>16 de julio de 2019</t>
  </si>
  <si>
    <t>17 de mayo de 2019</t>
  </si>
  <si>
    <t>17 de julio de 2019</t>
  </si>
  <si>
    <t>20 de mayo de 2019</t>
  </si>
  <si>
    <t>18 de julio de 2019</t>
  </si>
  <si>
    <t>21 de mayo de 2019</t>
  </si>
  <si>
    <t>19 de julio de 2019</t>
  </si>
  <si>
    <t>22 de mayo de 2019</t>
  </si>
  <si>
    <t>22 de julio de 2019</t>
  </si>
  <si>
    <t>15 de octubre de 2019</t>
  </si>
  <si>
    <t>16 de octubre de 2019</t>
  </si>
  <si>
    <t>17 de octubre de 2019</t>
  </si>
  <si>
    <t>18 de octubre de 2019</t>
  </si>
  <si>
    <t>21 de octubre de 2019</t>
  </si>
  <si>
    <t>22 de octubre de 2019</t>
  </si>
  <si>
    <t>12 de noviembre de 2019</t>
  </si>
  <si>
    <t>10 de diciembre de 2019</t>
  </si>
  <si>
    <t>10 de enero de 2020</t>
  </si>
  <si>
    <t>13 de noviembre de 2019</t>
  </si>
  <si>
    <t>11 de diciembre de 2019</t>
  </si>
  <si>
    <t>13 de enero de 2020</t>
  </si>
  <si>
    <t>14 de noviembre de 2019</t>
  </si>
  <si>
    <t>12 de diciembre de 2019</t>
  </si>
  <si>
    <t>14 de enero de 2020</t>
  </si>
  <si>
    <t>15 de noviembre de 2019</t>
  </si>
  <si>
    <t>13 de diciembre de 2019</t>
  </si>
  <si>
    <t>15 de enero de 2020</t>
  </si>
  <si>
    <t>18 de noviembre de 2019</t>
  </si>
  <si>
    <t>16 de diciembre de 2019</t>
  </si>
  <si>
    <t>16 de enero de 2020</t>
  </si>
  <si>
    <t>19 de noviembre de 2019</t>
  </si>
  <si>
    <t>17 de diciembre de 2019</t>
  </si>
  <si>
    <t>17 de enero de 2020</t>
  </si>
  <si>
    <t>20 de noviembre de 2019</t>
  </si>
  <si>
    <t>18 de diciembre de 2019</t>
  </si>
  <si>
    <t>20 de enero de 2020</t>
  </si>
  <si>
    <t>21 de noviembre de 2019</t>
  </si>
  <si>
    <t>19 de diciembre de 2019</t>
  </si>
  <si>
    <t>21 de enero de 2020</t>
  </si>
  <si>
    <t>22 de noviembre de 2019</t>
  </si>
  <si>
    <t>20 de diciembre de 2019</t>
  </si>
  <si>
    <t>22 de enero de 2020</t>
  </si>
  <si>
    <t>25 de noviembre de 2019</t>
  </si>
  <si>
    <t>23 de diciembre de 2019</t>
  </si>
  <si>
    <t>23 de enero de 2020</t>
  </si>
  <si>
    <t>Pendiente resol 2019</t>
  </si>
  <si>
    <t>Resolución 00xx del 28 de marzo de 20xx fechas Formulario 2516</t>
  </si>
  <si>
    <r>
      <rPr>
        <b/>
        <sz val="11"/>
        <color theme="1"/>
        <rFont val="Calibri"/>
        <family val="2"/>
        <scheme val="minor"/>
      </rPr>
      <t>Artículo 1.6.1.13.2.27. Contribuyentes obligados a presentar declaración informativa.</t>
    </r>
    <r>
      <rPr>
        <sz val="11"/>
        <color theme="1"/>
        <rFont val="Calibri"/>
        <family val="2"/>
        <scheme val="minor"/>
      </rPr>
      <t xml:space="preserve"> Están obligados a presentar declaración informativa de precios de transferencia por el año gravable 2018:
1. Los contribuyentes del impuesto sobre la renta y complementario, obligados a la aplicación de las normas que regulan el régimen de precios de transferencia, cuyo patrimonio bruto en el último día del año o período gravable sea igual o superior al equivalente a cien mil (100.000) UVT ($3.315.600.000) o cuyos ingresos brutos del respectivo año sean iguales o superiores al equivalente a sesenta y un mil (61.000) UVT ($2.022.516.000) que celebren operaciones con vinculados conforme con lo establecido en los artículos 260-1 y 260-2 del Estatuto Tributario.
2. Los contribuyentes del impuesto sobre la renta y complementario residentes  o domiciliados en Colombia que en dicho año gravable hubieran realizado operaciones con personas, sociedades, entidades o empresas ubicadas, residentes o domiciliadas en Jurisdicciones no cooperantes, de baja o nula imposición y regímenes tributarios preferentes, aunque su patrimonio bruto a 31 de diciembre de 2018 o sus ingresos brutos en el mismo año, hubieran sido inferiores a los topes señalados en el numeral anterior. (Artículo 260-7, parágrafo 2 del E.T).</t>
    </r>
  </si>
  <si>
    <r>
      <rPr>
        <b/>
        <sz val="10"/>
        <color theme="1"/>
        <rFont val="Calibri"/>
        <family val="2"/>
        <scheme val="minor"/>
      </rPr>
      <t xml:space="preserve">Artículo 1.6.1.13.2.28. Plazos para presentar la declaración informativa de precios de transferencia. </t>
    </r>
    <r>
      <rPr>
        <sz val="10"/>
        <color theme="1"/>
        <rFont val="Calibri"/>
        <family val="2"/>
        <scheme val="minor"/>
      </rPr>
      <t>Por el año gravable 2018, deberán presentar la declaración informativa de que trata el artículo anterior, los contribuyentes del impuesto sobre la renta y complementario obligados a la aplicación de las normas que regulan el régimen de precios de transferencia, que celebren operaciones con vinculados conforme con lo establecido en los artículos 260-1 y 260-2 del Estatuto Tributario o con personas, sociedades, entidades o empresas ubicadas, residentes o domiciliadas en jurisdicciones no cooperantes, de baja o nula imposición y regímenes tributarios preferentes, en el formulario que para tal efecto señale la Unidad Administrativa Especial Dirección de Impuestos y Aduanas Nacionales -DIAN.
La declaración informativa de precios de transferencia, se presentará en forma virtual a través de los servicios informáticos electrónicos de la Unidad Administrativa Especial Dirección de Impuestos y Aduanas Nacionales -DIAN, atendiendo al último dígito del Número de Identificación Tributaria -NIT del declarante que conste en el certificado del Registro Único Tributario -RUT, sin el dígito de verificación, teniendo en cuenta para tal efecto los plazos establecidos a continuación:</t>
    </r>
    <r>
      <rPr>
        <b/>
        <sz val="10"/>
        <color theme="1"/>
        <rFont val="Calibri"/>
        <family val="2"/>
        <scheme val="minor"/>
      </rPr>
      <t/>
    </r>
  </si>
  <si>
    <r>
      <rPr>
        <b/>
        <sz val="10"/>
        <color theme="1"/>
        <rFont val="Calibri"/>
        <family val="2"/>
        <scheme val="minor"/>
      </rPr>
      <t>Artículo 1.6.1.13.2.29. Plazos para presentar la documentación Comprobatoria.</t>
    </r>
    <r>
      <rPr>
        <sz val="10"/>
        <color theme="1"/>
        <rFont val="Calibri"/>
        <family val="2"/>
        <scheme val="minor"/>
      </rPr>
      <t xml:space="preserve"> Por el año gravable 2018, deberán presentar la documentación comprobatoria de que trata el artículo 260-5 del Estatuto Tributario:
1. Los contribuyentes que celebren operaciones con vinculados conforme con lo establecido en los artlculos 260-1, 260-2 del Estatuto Tributario o con personas, sociedades, entidades o empresas ubicadas, residentes o domiciliadas en jurisdicciones no cooperantes, de baja o nula imposición y regímenes tributarios preferentes conforme al 260-7 del Estatuto Tributario, deberán presentar el Informe Local y el Informe Maestro en forma virtual a través de los servicios informáticos electrónicos de la Unidad Administrativa Especial Dirección de Impuestos y Aduanas Nacionales -DIAN, y en las condiciones que ésta determine, atendiendo al último dígito del Número de Identificación Tributaria -NIT del declarante que conste en el certificado del Registro Único Tributario -RUT, sin el dígito de verificación, teniendo en cuenta para tal efecto los plazos establecidos a continuación:
</t>
    </r>
  </si>
  <si>
    <t>2. Los contribuyentes del impuesto sobre la renta y complementarios, que se encuentren en alguno de los supuestos que se señalan en el numeral 2 del artículo 260-5 del Estatuto Tributario y su reglamentario, deberán presentar el Informe País por País que contendrá información relativa a la asignación global de ingresos e impuestos pagados por el grupo multinacional junto con ciertos indicadores relativos a su actividad económica a nivel global en forma virtual a través de los servicios informáticos electrónicos de la Unidad Administrativa Especial Dirección de Impuestos y Aduanas Nacionales DIAN, yen las condiciones que ésta determine, atendiendo al último dígito del Número de Identificación Tributaria -NIT del declarante que conste en el certificado del Registro Único Tributario -RUT, sin el dígito de verificación, teniendo en cuenta para tal efecto los plazos establecidos a continuación:</t>
  </si>
  <si>
    <t>Indicadores Relevantes para el Año 2019</t>
  </si>
  <si>
    <t xml:space="preserve">  DR 2391/18</t>
  </si>
  <si>
    <t>IPC 2018 máximo aumento arriendo vivienda</t>
  </si>
  <si>
    <t>Salario mínimo 2019</t>
  </si>
  <si>
    <t>Auxilio de transporte 2019</t>
  </si>
  <si>
    <t>Grandes contribuyentes (autorretenedores ICA)</t>
  </si>
  <si>
    <t>Art 36</t>
  </si>
  <si>
    <t>Rég. Común de ICA no simplif IVA (sic)</t>
  </si>
  <si>
    <t>#5 del Art 291 Acuerdo 25</t>
  </si>
  <si>
    <t>Acuerdo 025 de 2018</t>
  </si>
  <si>
    <t>Renta Presuntiva Año 2019 y 2020</t>
  </si>
  <si>
    <t>Resolución 56 del 2018</t>
  </si>
  <si>
    <t>Proyecto de decreto publicado 15/02/2019</t>
  </si>
  <si>
    <r>
      <t xml:space="preserve">Artículo 1.6.1.13.2.50. Plazos para declarar y pagar el impuesto al patrimonio. </t>
    </r>
    <r>
      <rPr>
        <sz val="10"/>
        <rFont val="Calibri"/>
        <family val="2"/>
      </rPr>
      <t>El plazo para presentar la declaración del impuesto al patrimonio y para cancelar en dos (2) cuotas iguales el valor a pagar por este impuesto, vence en las fechas que se indican a continuación, atendiendo el último dígito del Número de Identificación Tributaria -NIT del declarante que conste en el Certificado del Registro Único Tributario -RUT, sin tener en cuenta el dígito de verificación, así:</t>
    </r>
  </si>
  <si>
    <t>Responsable de Imp al Consumo</t>
  </si>
  <si>
    <t>No responsable de Impuesto al Consumo</t>
  </si>
  <si>
    <t>UVT año 2019</t>
  </si>
  <si>
    <t>Activos Brutos año anterior = ó &gt; 5.000 SMMLV y/o</t>
  </si>
  <si>
    <t>Ingresos brutos año anterior = ó &gt; 3.000 SMMLV</t>
  </si>
  <si>
    <t>Impuesto Unificado bajo el Régimen Simple de Tributación – SIMPLE</t>
  </si>
  <si>
    <t xml:space="preserve">PN y PJ de socios residentes cuyos ing Año Ant. </t>
  </si>
  <si>
    <t>menorres a 80.000 UVT</t>
  </si>
  <si>
    <t>Bimestral si en 2018 Ing Brutos &gt; a 92.000 UVT</t>
  </si>
  <si>
    <t>Cuatrimestral si en 2018 Ing &gt;= a 92.000 UVT</t>
  </si>
  <si>
    <t xml:space="preserve">Resolución de Facturación </t>
  </si>
  <si>
    <t>Lista de chequeo mensual:</t>
  </si>
  <si>
    <t>Pasgo segunda cuota impuesto de renta</t>
  </si>
  <si>
    <t>Retención en la fuente del Mes de Noviembre</t>
  </si>
  <si>
    <t>ReteICA 3os y Autoretenciòn ICA Bimestre Septiembre - Octubre</t>
  </si>
  <si>
    <t>IVA Bimestre Septiembre - Octubre</t>
  </si>
  <si>
    <t>Retención en la fuente del Mes de Octubre</t>
  </si>
  <si>
    <t>Resolución de facutación electrónica Rn 0020 de 2019</t>
  </si>
  <si>
    <t>Retención en la fuente del Mes de Septiembre</t>
  </si>
  <si>
    <t>ReteICA 3os y Autoretenciòn ICA Bimestre Julio - Agosto</t>
  </si>
  <si>
    <t>IVA Bimestre Julio - Agosto</t>
  </si>
  <si>
    <t>Retención en la fuente del Mes de Agosto</t>
  </si>
  <si>
    <t>Retención en la fuente del Mes de Julio</t>
  </si>
  <si>
    <t>ReteICA 3os y Autoretenciòn ICA Bimestre Mayo - Junio</t>
  </si>
  <si>
    <t>IVA Bimestre Mayo - Junio</t>
  </si>
  <si>
    <t>Retención en la fuente del Mes de Junio</t>
  </si>
  <si>
    <t>Retención en la fuente del Mes de Mayo</t>
  </si>
  <si>
    <t>Impuesto sobre la Renta Pago Segunda Cuota Renta</t>
  </si>
  <si>
    <t>IVA Bimestre Marzo - Abril</t>
  </si>
  <si>
    <t>Retención en la fuente del Mes de Abril</t>
  </si>
  <si>
    <t>Arbnobio</t>
  </si>
  <si>
    <t>Mes enero</t>
  </si>
  <si>
    <t>Inicio de formatos</t>
  </si>
  <si>
    <t xml:space="preserve">Mes enero </t>
  </si>
  <si>
    <t>Revisión de base de datos</t>
  </si>
  <si>
    <t>Mes octubre - Noviembre</t>
  </si>
  <si>
    <t>Leer expedición de resolución</t>
  </si>
  <si>
    <t>Mes octubre</t>
  </si>
  <si>
    <t xml:space="preserve">Conciliación 1 contable - fiscal </t>
  </si>
  <si>
    <t>Presentación Información Exógena</t>
  </si>
  <si>
    <t>ReteICA 3os y Autoretenciòn ICA Bimestre Marzo - Abril</t>
  </si>
  <si>
    <t>Impuesto de Industria y Comercio y Avisos y Tableros</t>
  </si>
  <si>
    <t>Depósito de EEFF</t>
  </si>
  <si>
    <t>Retención en la fuente del Mes de Marzo</t>
  </si>
  <si>
    <t xml:space="preserve">Presentación </t>
  </si>
  <si>
    <t>Del 11 de marzo al 20 de marzo</t>
  </si>
  <si>
    <t>Revisión y aprobación 2516- 110</t>
  </si>
  <si>
    <t>Del 26 de febrero al 10 de marzo</t>
  </si>
  <si>
    <t>Preparación y elaboración de formato 110</t>
  </si>
  <si>
    <t>Preparación y elaboración de formato 2516</t>
  </si>
  <si>
    <t>Al día 25 de febrero</t>
  </si>
  <si>
    <t xml:space="preserve">Revisión, aprobación y dictamen de EEFF </t>
  </si>
  <si>
    <t>Del 01 al 10 de Febrero</t>
  </si>
  <si>
    <t xml:space="preserve">Preparación y elaboración de EEFF </t>
  </si>
  <si>
    <t>Impuesto sobre la Renta Declaración y Pago Primera Cuota</t>
  </si>
  <si>
    <t xml:space="preserve">Abril </t>
  </si>
  <si>
    <t>Renovación de matrícula Mercantil</t>
  </si>
  <si>
    <t>Informe de estados financieros dictaminados</t>
  </si>
  <si>
    <t>Informe de gestión de gerencia</t>
  </si>
  <si>
    <t>Asamblea General de Accionistas</t>
  </si>
  <si>
    <t>Al día 5 al 6</t>
  </si>
  <si>
    <t xml:space="preserve">Libro auxiliar corregido con borrador </t>
  </si>
  <si>
    <t>Al día 4</t>
  </si>
  <si>
    <t>Envío al revisor</t>
  </si>
  <si>
    <t>Al día 3</t>
  </si>
  <si>
    <t>Elaboración de borrador</t>
  </si>
  <si>
    <t>Al día 2 al 3</t>
  </si>
  <si>
    <t>Corrección y aprobación del auxiliar</t>
  </si>
  <si>
    <t xml:space="preserve">Al día 1 </t>
  </si>
  <si>
    <t>Envío de auxiliar al contador</t>
  </si>
  <si>
    <t>El día 30 de cada mes</t>
  </si>
  <si>
    <t>Generación libros auxiliares</t>
  </si>
  <si>
    <t>Del día 26 al 30 de cada mes</t>
  </si>
  <si>
    <t>Revisión de movimiento contable soportes Vs Software</t>
  </si>
  <si>
    <t>El día 25 de cada mes</t>
  </si>
  <si>
    <t>Cierre de contable tributario</t>
  </si>
  <si>
    <t>Retención en la fuente ICA bimestre 1</t>
  </si>
  <si>
    <t>IVA Bimestre Enero - Febrero</t>
  </si>
  <si>
    <t>Expedición de certificados Web-Correo</t>
  </si>
  <si>
    <t>Elaboración de certificados</t>
  </si>
  <si>
    <t>Plan de trabajo de Jon</t>
  </si>
  <si>
    <t>Conciliación contable Vs fiscal</t>
  </si>
  <si>
    <t xml:space="preserve">Expedición de certificados de retención en la fuente y 220 Año Grave 2016 </t>
  </si>
  <si>
    <t>Retención en la fuente del Mes de Febrero</t>
  </si>
  <si>
    <t>Retención en la fuente del Mes de Enero</t>
  </si>
  <si>
    <t>ReteICA 3os y Autoretenciòn ICA Bimestre Noviembre - Diciembre</t>
  </si>
  <si>
    <t>Jhony</t>
  </si>
  <si>
    <t>Revisión aleatoria al movimiento en cualquier momento</t>
  </si>
  <si>
    <t xml:space="preserve">Jhony </t>
  </si>
  <si>
    <t>Recomendaciones y/o salvedades al impuesto</t>
  </si>
  <si>
    <t>Se pueden dar observaciones a ajustes y correcciones</t>
  </si>
  <si>
    <t>Arnobio</t>
  </si>
  <si>
    <t>Argènida</t>
  </si>
  <si>
    <t>Ajustes y correciones necesarias</t>
  </si>
  <si>
    <t>Revisión general del movimiento del mes</t>
  </si>
  <si>
    <t>Arnobio (primer filtro)</t>
  </si>
  <si>
    <t xml:space="preserve">Ajustes y correciones al movimiento  </t>
  </si>
  <si>
    <t>Se requiere revisión cada X dias del movientos contable</t>
  </si>
  <si>
    <t xml:space="preserve">Para llegar a revisión </t>
  </si>
  <si>
    <t>Causación diaria de compras de materias primas e insumos</t>
  </si>
  <si>
    <t>Causación diaria de los gastos y costos</t>
  </si>
  <si>
    <t>Para llegar a cierre de gastos se requiere:</t>
  </si>
  <si>
    <t>Cierre de gastos</t>
  </si>
  <si>
    <t>Retención en la fuente del Retención en la fuente del Mes de Enero</t>
  </si>
  <si>
    <t>DECLARACIONES DE IVA-RETEFTE-ICA</t>
  </si>
  <si>
    <t>TODOS LOS MESES</t>
  </si>
  <si>
    <t>Expedición de certificados de retención en la fuente Año Grav 2019</t>
  </si>
  <si>
    <t>Expedición de certificados de reteiva Año Grav 2020</t>
  </si>
  <si>
    <t>28 de Abril de 2020</t>
  </si>
  <si>
    <t>29 de Abril de 2020</t>
  </si>
  <si>
    <t>30 de Abril de 2020</t>
  </si>
  <si>
    <t>04 de Mayo de 2020</t>
  </si>
  <si>
    <t>05 de Mayo de 2020</t>
  </si>
  <si>
    <t>06 de Mayo de 2020</t>
  </si>
  <si>
    <t>07 de Mayo de 2020</t>
  </si>
  <si>
    <t>08 de Mayo de 2020</t>
  </si>
  <si>
    <t>11 de Mayo de 2020</t>
  </si>
  <si>
    <t>12 de Mayo de 2020</t>
  </si>
  <si>
    <t>13 de Mayo de 2020</t>
  </si>
  <si>
    <t>14 de Mayo de 2020</t>
  </si>
  <si>
    <t>15 de Mayo de 2020</t>
  </si>
  <si>
    <t>18 de Mayo de 2020</t>
  </si>
  <si>
    <t>19 de Mayo de 2020</t>
  </si>
  <si>
    <t>20 de Mayo de 2020</t>
  </si>
  <si>
    <t>21 de Mayo de 2020</t>
  </si>
  <si>
    <t>22 de Mayo de 2020</t>
  </si>
  <si>
    <t>26 de Mayo de 2020</t>
  </si>
  <si>
    <t>27 de Mayo de 2020</t>
  </si>
  <si>
    <t>28 de Mayo de 2020</t>
  </si>
  <si>
    <t>29 de Mayo de 2020</t>
  </si>
  <si>
    <t>01 de Junio de 2020</t>
  </si>
  <si>
    <t>02 de Junio de 2020</t>
  </si>
  <si>
    <t>03 de Junio de 2020</t>
  </si>
  <si>
    <t>04 de Junio de 2020</t>
  </si>
  <si>
    <t>05 de Junio de 2020</t>
  </si>
  <si>
    <t>08 de Junio de 2020</t>
  </si>
  <si>
    <t>09 de Junio de 2020</t>
  </si>
  <si>
    <t>10 de Junio de 2020</t>
  </si>
  <si>
    <t>Resolución 0011004 del 30 de Octubre de 2018</t>
  </si>
  <si>
    <r>
      <rPr>
        <b/>
        <sz val="9"/>
        <color theme="1"/>
        <rFont val="Arial"/>
        <family val="2"/>
      </rPr>
      <t xml:space="preserve">Artículo 45. PLAZOS PARA SUMINISTRAR LA INFORMACIÓN ANUAL Y ANUALCON CORTE MENSUAL. </t>
    </r>
    <r>
      <rPr>
        <sz val="9"/>
        <color theme="1"/>
        <rFont val="Arial"/>
        <family val="2"/>
      </rPr>
      <t xml:space="preserve">La información a que se refieren los artículos 623, 623-2 (sic), 623-3, 624, 625, 628, 629, 629-1, 631 y 631-3 del Estatuto Tributario y los Títulos III, IV, Capítulos del 1 al 13 y 15 del Título V, Capitulo 1, 3 y 4 del Título VI, Capitulo 1 del Título VII y Título VIII de la presente resolución, deberá ser reportada a más tardar en las siguientes fechas, teniendo en cuenta el último dígito del NIT del informante cuando  se trate de un Gran Contribuyente o los dos últimos dígitos del NIT del informante cuando se trate de una Persona Jurídica y asimilada o una Persona Natural y asimilada:
</t>
    </r>
  </si>
  <si>
    <r>
      <rPr>
        <b/>
        <sz val="10"/>
        <color theme="1"/>
        <rFont val="Calibri"/>
        <family val="2"/>
        <scheme val="minor"/>
      </rPr>
      <t xml:space="preserve">"Artículo 1.6.1.13.2.40. Obligación de expedir certificados por parte del agente retenedor del impuesto sobre la renta y complementario y del gravamen a los movimientos financieros -GMF. </t>
    </r>
    <r>
      <rPr>
        <sz val="10"/>
        <color theme="1"/>
        <rFont val="Calibri"/>
        <family val="2"/>
        <scheme val="minor"/>
      </rPr>
      <t>Los agentes retenedores del impuesto sobre la renta y complementario y los del gravamen a los movimientos financieros -GMF, deberán expedir a más tardar el veintinueve</t>
    </r>
    <r>
      <rPr>
        <b/>
        <sz val="10"/>
        <color rgb="FFFF0000"/>
        <rFont val="Calibri"/>
        <family val="2"/>
        <scheme val="minor"/>
      </rPr>
      <t xml:space="preserve"> (31) de marzo de 2020</t>
    </r>
    <r>
      <rPr>
        <sz val="10"/>
        <color theme="1"/>
        <rFont val="Calibri"/>
        <family val="2"/>
        <scheme val="minor"/>
      </rPr>
      <t xml:space="preserve">, los siguientes certificados por el año gravable 2018:
1. Los certificados de ingresos y retenciones por concepto de pagos originados en la relación laboral o legal y reglamentaria a que se refiere el artículo 378 del Estatuto Tributario.
2. Los certificados de retenciones en la fuente por conceptos distintos a pagos originados en la relación laboral o legal y reglamentaria, a que se refiere el artículo 381 del Estatuto Tributario y del gravamen a los movimientos financieros -GMF.
</t>
    </r>
    <r>
      <rPr>
        <b/>
        <sz val="10"/>
        <color theme="1"/>
        <rFont val="Calibri"/>
        <family val="2"/>
        <scheme val="minor"/>
      </rPr>
      <t xml:space="preserve">
</t>
    </r>
  </si>
  <si>
    <t>Con la presentación de la declaración de renta</t>
  </si>
  <si>
    <r>
      <rPr>
        <b/>
        <sz val="10"/>
        <color theme="1"/>
        <rFont val="Calibri"/>
        <family val="2"/>
        <scheme val="minor"/>
      </rPr>
      <t xml:space="preserve">"Artículo 1.6.1.13.2.50. para declarar y pagar el impuesto unificado
bajo el régimen simple de tributación  -SIMPLE. </t>
    </r>
    <r>
      <rPr>
        <sz val="10"/>
        <color theme="1"/>
        <rFont val="Calibri"/>
        <family val="2"/>
        <scheme val="minor"/>
      </rPr>
      <t>Los agentes retenedores del impuesto sobre la renta y complementario y los del gravamen a los movimientos financieros -GMF, deberán expedir a más tardar el veintinueve</t>
    </r>
    <r>
      <rPr>
        <b/>
        <sz val="10"/>
        <color rgb="FFFF0000"/>
        <rFont val="Calibri"/>
        <family val="2"/>
        <scheme val="minor"/>
      </rPr>
      <t xml:space="preserve"> (31) de marzo de 2020</t>
    </r>
    <r>
      <rPr>
        <sz val="10"/>
        <color theme="1"/>
        <rFont val="Calibri"/>
        <family val="2"/>
        <scheme val="minor"/>
      </rPr>
      <t xml:space="preserve">, los siguientes certificados por el año gravable 2018:
1. Los certificados de ingresos y retenciones por concepto de pagos originados en la relación laboral o legal y reglamentaria a que se refiere el artículo 378 del Estatuto Tributario.
2. Los certificados de retenciones en la fuente por conceptos distintos a pagos originados en la relación laboral o legal y reglamentaria, a que se refiere el artículo 381 del Estatuto Tributario y del gravamen a los movimientos financieros -GMF.
</t>
    </r>
    <r>
      <rPr>
        <b/>
        <sz val="10"/>
        <color theme="1"/>
        <rFont val="Calibri"/>
        <family val="2"/>
        <scheme val="minor"/>
      </rPr>
      <t xml:space="preserve">
</t>
    </r>
  </si>
  <si>
    <t xml:space="preserve">PLAZOS PARA DECLARAR Y PAGAR EL IMPUESTO UNIFICADO BAJO EL 
REGIMEN SIMPLE DE TRIBUTACION - SIMPLE y PARA PRESENTAR LA 
DECLARACiÓN ANUAL CONSOLIDADA DEL IMPUESTO SOBRE LAS 
VENTAS -IVA. </t>
  </si>
  <si>
    <t>Si el digito es</t>
  </si>
  <si>
    <t xml:space="preserve">IMPUESTO UNIFICADO BAJO EL REGIMEN SIMPLE DE TRIBUTACION - SIMPLE </t>
  </si>
  <si>
    <t>Resolución 054 del 17 de diciembre de 2019</t>
  </si>
  <si>
    <t>POR EL CUAL SE ESTABLECE EL CALENDARIO TRIBUTARIO PARA EL AÑO 2020 EN EL MUNICIPIO DE SAN JOSE DE CUCUTA</t>
  </si>
  <si>
    <t>https://bit.ly/39bcH38</t>
  </si>
  <si>
    <t xml:space="preserve">Artículo 1.6.1.13.2.51. Plazo para presentar la Declaración Anual Consolidada del impuesto sobre las ventas -IVA. Los contribuyentes del impuesto unificado bajo el régimen simple de tributación -SIMPLE que sean responsables del impuesto sobre las ventas -IVA, deberán presentar la Declaración Anual Consolidada del impuesto sobre las ventas -IVA correspondiente al año gravable 2019, en las fechas que se indican a continuación, dependiendo del último dígito del Número de Identificación Tributaria -NIT del declarante, en el formulario que prescriba la Unidad Administrativa Especial Dirección de Impuestos y Aduanas Nacionales -DIAN. </t>
  </si>
  <si>
    <t xml:space="preserve">Plazos para presentar y pagar declaración anual consolidada </t>
  </si>
  <si>
    <t>Declaracion anual consolidada del IVA AG 2019</t>
  </si>
  <si>
    <t>ULTIMO DIGITO</t>
  </si>
  <si>
    <t>ENERO -FEBRERO</t>
  </si>
  <si>
    <t>MARZO -ABRIL</t>
  </si>
  <si>
    <t>MAYO - JUNIO</t>
  </si>
  <si>
    <t>JULIO - AGOSTO</t>
  </si>
  <si>
    <t>SEPTIEMBRE - OCTUBRE</t>
  </si>
  <si>
    <t>NOVIEMBRE - DICIEMBRE</t>
  </si>
  <si>
    <t>Hasta el Dia</t>
  </si>
  <si>
    <t>EMPRESA XYZ S.A.S.</t>
  </si>
  <si>
    <t>PROGRAMADOR OBLIGACIONES TRIBUTARIAS AÑO 2020 DR 2345 de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</si>
</sst>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6" formatCode="&quot;$&quot;#,##0;[Red]\-&quot;$&quot;#,##0"/>
    <numFmt numFmtId="43" formatCode="_-* #,##0.00_-;\-* #,##0.00_-;_-* &quot;-&quot;??_-;_-@_-"/>
    <numFmt numFmtId="164" formatCode="00"/>
    <numFmt numFmtId="165" formatCode="[$-240A]d&quot; de &quot;mmmm&quot; de &quot;yyyy;@"/>
    <numFmt numFmtId="166" formatCode="dd\ &quot;de&quot;\ mmmm\ &quot;de&quot;\ yyyy"/>
    <numFmt numFmtId="167" formatCode="mmmm&quot; &quot;yyyy"/>
    <numFmt numFmtId="168" formatCode=";;;"/>
    <numFmt numFmtId="169" formatCode="&quot;€&quot;#,##0.00_);[Red]\(&quot;€&quot;#,##0.00\)"/>
    <numFmt numFmtId="170" formatCode="#,##0.00\ &quot;Uvt&quot;;[Red]#,##0.00"/>
    <numFmt numFmtId="171" formatCode="\4\ \ \U\V\T\ \ \ &quot;$&quot;#,##0;[Red]\-&quot;$&quot;#,##0"/>
    <numFmt numFmtId="172" formatCode="\2\7\ \U\V\T\ \ \ &quot;$&quot;#,##0;[Red]\-&quot;$&quot;#,##0"/>
    <numFmt numFmtId="173" formatCode="0.0%"/>
    <numFmt numFmtId="174" formatCode="&quot;30.000 UVT&quot;\ \ \ &quot;$&quot;#,##0;[Red]\-&quot;$&quot;#,##0"/>
    <numFmt numFmtId="175" formatCode="&quot;1.500 UVT&quot;\ \ \ &quot;$&quot;#,##0;[Red]\-&quot;$&quot;#,##0"/>
  </numFmts>
  <fonts count="68" x14ac:knownFonts="1">
    <font>
      <sz val="11"/>
      <color theme="1"/>
      <name val="Calibri"/>
      <family val="2"/>
      <scheme val="minor"/>
    </font>
    <font>
      <b/>
      <sz val="11"/>
      <color theme="1"/>
      <name val="Calibri"/>
      <family val="2"/>
      <scheme val="minor"/>
    </font>
    <font>
      <b/>
      <sz val="10"/>
      <name val="Arial"/>
      <family val="2"/>
    </font>
    <font>
      <sz val="9"/>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u/>
      <sz val="11"/>
      <color theme="10"/>
      <name val="Calibri"/>
      <family val="2"/>
    </font>
    <font>
      <sz val="11"/>
      <color theme="0" tint="-0.14999847407452621"/>
      <name val="Calibri"/>
      <family val="2"/>
      <scheme val="minor"/>
    </font>
    <font>
      <sz val="11"/>
      <color theme="3" tint="0.79998168889431442"/>
      <name val="Calibri"/>
      <family val="2"/>
      <scheme val="minor"/>
    </font>
    <font>
      <b/>
      <sz val="9"/>
      <color theme="1"/>
      <name val="Arial"/>
      <family val="2"/>
    </font>
    <font>
      <sz val="9"/>
      <color theme="1"/>
      <name val="Arial"/>
      <family val="2"/>
    </font>
    <font>
      <sz val="11"/>
      <color theme="1"/>
      <name val="Calibri"/>
      <family val="2"/>
      <scheme val="minor"/>
    </font>
    <font>
      <sz val="9"/>
      <color theme="3" tint="0.79998168889431442"/>
      <name val="Calibri"/>
      <family val="2"/>
      <scheme val="minor"/>
    </font>
    <font>
      <sz val="8"/>
      <color theme="1"/>
      <name val="Calibri"/>
      <family val="2"/>
      <scheme val="minor"/>
    </font>
    <font>
      <b/>
      <sz val="9"/>
      <color theme="1"/>
      <name val="Calibri"/>
      <family val="2"/>
      <scheme val="minor"/>
    </font>
    <font>
      <b/>
      <sz val="7"/>
      <color rgb="FF000000"/>
      <name val="Tahoma"/>
      <family val="2"/>
    </font>
    <font>
      <sz val="7"/>
      <color rgb="FF333333"/>
      <name val="Arial"/>
      <family val="2"/>
    </font>
    <font>
      <b/>
      <sz val="7"/>
      <color rgb="FF333333"/>
      <name val="Arial"/>
      <family val="2"/>
    </font>
    <font>
      <b/>
      <sz val="9"/>
      <color theme="3"/>
      <name val="Calibri"/>
      <family val="2"/>
      <scheme val="minor"/>
    </font>
    <font>
      <b/>
      <sz val="8"/>
      <color theme="3"/>
      <name val="Calibri"/>
      <family val="2"/>
      <scheme val="minor"/>
    </font>
    <font>
      <b/>
      <u/>
      <sz val="11"/>
      <color theme="1"/>
      <name val="Calibri"/>
      <family val="2"/>
      <scheme val="minor"/>
    </font>
    <font>
      <b/>
      <sz val="18"/>
      <color theme="1"/>
      <name val="Calibri"/>
      <family val="2"/>
      <scheme val="minor"/>
    </font>
    <font>
      <sz val="9"/>
      <color theme="0"/>
      <name val="Calibri"/>
      <family val="2"/>
      <scheme val="minor"/>
    </font>
    <font>
      <b/>
      <sz val="8"/>
      <color theme="1"/>
      <name val="Calibri"/>
      <family val="2"/>
      <scheme val="minor"/>
    </font>
    <font>
      <sz val="6"/>
      <color theme="1"/>
      <name val="Arial"/>
      <family val="2"/>
    </font>
    <font>
      <sz val="8"/>
      <color rgb="FF000000"/>
      <name val="Tahoma"/>
      <family val="2"/>
    </font>
    <font>
      <b/>
      <sz val="10"/>
      <color rgb="FF333333"/>
      <name val="Arial"/>
      <family val="2"/>
    </font>
    <font>
      <b/>
      <sz val="11"/>
      <color rgb="FFFF0000"/>
      <name val="Calibri"/>
      <family val="2"/>
      <scheme val="minor"/>
    </font>
    <font>
      <sz val="11"/>
      <color theme="0"/>
      <name val="Calibri"/>
      <family val="2"/>
      <scheme val="minor"/>
    </font>
    <font>
      <b/>
      <sz val="10"/>
      <color rgb="FFFF0000"/>
      <name val="Calibri"/>
      <family val="2"/>
      <scheme val="minor"/>
    </font>
    <font>
      <sz val="13.5"/>
      <color theme="1"/>
      <name val="Times New Roman"/>
      <family val="1"/>
    </font>
    <font>
      <b/>
      <sz val="17.5"/>
      <color rgb="FFFFFFFF"/>
      <name val="Times New Roman"/>
      <family val="1"/>
    </font>
    <font>
      <sz val="11"/>
      <color rgb="FF9C5700"/>
      <name val="Calibri"/>
      <family val="2"/>
      <scheme val="minor"/>
    </font>
    <font>
      <sz val="6"/>
      <color theme="1"/>
      <name val="Calibri"/>
      <family val="2"/>
      <scheme val="minor"/>
    </font>
    <font>
      <u/>
      <sz val="7"/>
      <color theme="10"/>
      <name val="Calibri"/>
      <family val="2"/>
    </font>
    <font>
      <sz val="11"/>
      <color theme="1"/>
      <name val="Arial"/>
      <family val="2"/>
    </font>
    <font>
      <b/>
      <sz val="11"/>
      <color theme="1"/>
      <name val="Arial"/>
      <family val="2"/>
    </font>
    <font>
      <sz val="11"/>
      <color rgb="FFFF0000"/>
      <name val="Calibri"/>
      <family val="2"/>
      <scheme val="minor"/>
    </font>
    <font>
      <b/>
      <sz val="12"/>
      <color rgb="FFFF0000"/>
      <name val="Calibri"/>
      <family val="2"/>
      <scheme val="minor"/>
    </font>
    <font>
      <sz val="11"/>
      <color rgb="FF3F3F76"/>
      <name val="Calibri"/>
      <family val="2"/>
      <scheme val="minor"/>
    </font>
    <font>
      <b/>
      <sz val="9"/>
      <color rgb="FFFF0000"/>
      <name val="Calibri"/>
      <family val="2"/>
      <scheme val="minor"/>
    </font>
    <font>
      <sz val="10"/>
      <color rgb="FFFF0000"/>
      <name val="Calibri"/>
      <family val="2"/>
      <scheme val="minor"/>
    </font>
    <font>
      <sz val="9"/>
      <color rgb="FF3F3F76"/>
      <name val="Calibri"/>
      <family val="2"/>
      <scheme val="minor"/>
    </font>
    <font>
      <b/>
      <sz val="14"/>
      <color theme="0"/>
      <name val="Calibri"/>
      <family val="2"/>
      <scheme val="minor"/>
    </font>
    <font>
      <b/>
      <sz val="8"/>
      <color rgb="FFFF0000"/>
      <name val="Calibri"/>
      <family val="2"/>
      <scheme val="minor"/>
    </font>
    <font>
      <b/>
      <sz val="12"/>
      <color theme="1"/>
      <name val="Arial"/>
      <family val="2"/>
    </font>
    <font>
      <sz val="12"/>
      <color theme="1"/>
      <name val="Arial"/>
      <family val="2"/>
    </font>
    <font>
      <b/>
      <sz val="16"/>
      <color theme="1"/>
      <name val="Calibri"/>
      <family val="2"/>
      <scheme val="minor"/>
    </font>
    <font>
      <sz val="10"/>
      <name val="Arial"/>
      <family val="2"/>
    </font>
    <font>
      <sz val="10"/>
      <name val="Tahoma"/>
      <family val="2"/>
    </font>
    <font>
      <sz val="9"/>
      <name val="Tahoma"/>
      <family val="2"/>
    </font>
    <font>
      <b/>
      <sz val="9"/>
      <color indexed="9"/>
      <name val="Tahoma"/>
      <family val="2"/>
    </font>
    <font>
      <sz val="9"/>
      <color indexed="9"/>
      <name val="Tahoma"/>
      <family val="2"/>
    </font>
    <font>
      <sz val="8"/>
      <color indexed="9"/>
      <name val="Tahoma"/>
      <family val="2"/>
    </font>
    <font>
      <b/>
      <sz val="10"/>
      <name val="Tahoma"/>
      <family val="2"/>
    </font>
    <font>
      <b/>
      <sz val="12"/>
      <name val="Tahoma"/>
      <family val="2"/>
    </font>
    <font>
      <b/>
      <sz val="16"/>
      <color indexed="62"/>
      <name val="Tahoma"/>
      <family val="2"/>
    </font>
    <font>
      <b/>
      <sz val="18"/>
      <color indexed="9"/>
      <name val="Tahoma"/>
      <family val="2"/>
    </font>
    <font>
      <sz val="10"/>
      <color rgb="FF000000"/>
      <name val="Times New Roman"/>
      <family val="1"/>
    </font>
    <font>
      <sz val="8"/>
      <name val="Tahoma"/>
      <family val="2"/>
    </font>
    <font>
      <b/>
      <sz val="10"/>
      <name val="Calibri"/>
      <family val="2"/>
    </font>
    <font>
      <sz val="10"/>
      <name val="Calibri"/>
      <family val="2"/>
    </font>
    <font>
      <b/>
      <sz val="12"/>
      <color theme="0"/>
      <name val="Calibri"/>
      <family val="2"/>
      <scheme val="minor"/>
    </font>
    <font>
      <sz val="13"/>
      <color theme="1"/>
      <name val="Arial"/>
      <family val="2"/>
    </font>
    <font>
      <b/>
      <sz val="13"/>
      <color theme="1"/>
      <name val="Arial"/>
      <family val="2"/>
    </font>
    <font>
      <b/>
      <sz val="13"/>
      <name val="Arial"/>
      <family val="2"/>
    </font>
    <font>
      <b/>
      <sz val="13"/>
      <color theme="0"/>
      <name val="Arial"/>
      <family val="2"/>
    </font>
  </fonts>
  <fills count="29">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rgb="FFFFFFFF"/>
        <bgColor indexed="64"/>
      </patternFill>
    </fill>
    <fill>
      <patternFill patternType="solid">
        <fgColor rgb="FFCCCCCC"/>
        <bgColor indexed="64"/>
      </patternFill>
    </fill>
    <fill>
      <patternFill patternType="solid">
        <fgColor rgb="FFE6E6E6"/>
        <bgColor indexed="64"/>
      </patternFill>
    </fill>
    <fill>
      <patternFill patternType="solid">
        <fgColor rgb="FFD2E1FF"/>
        <bgColor indexed="64"/>
      </patternFill>
    </fill>
    <fill>
      <patternFill patternType="solid">
        <fgColor rgb="FFFFFF00"/>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8"/>
      </patternFill>
    </fill>
    <fill>
      <patternFill patternType="solid">
        <fgColor theme="9"/>
      </patternFill>
    </fill>
    <fill>
      <patternFill patternType="solid">
        <fgColor theme="5" tint="0.59999389629810485"/>
        <bgColor indexed="64"/>
      </patternFill>
    </fill>
    <fill>
      <patternFill patternType="solid">
        <fgColor rgb="FF038CDC"/>
        <bgColor indexed="64"/>
      </patternFill>
    </fill>
    <fill>
      <patternFill patternType="solid">
        <fgColor rgb="FF0070C0"/>
        <bgColor indexed="64"/>
      </patternFill>
    </fill>
    <fill>
      <patternFill patternType="solid">
        <fgColor theme="6" tint="0.39997558519241921"/>
        <bgColor indexed="64"/>
      </patternFill>
    </fill>
    <fill>
      <patternFill patternType="solid">
        <fgColor rgb="FFFFEB9C"/>
      </patternFill>
    </fill>
    <fill>
      <patternFill patternType="solid">
        <fgColor rgb="FFFFCC99"/>
      </patternFill>
    </fill>
    <fill>
      <patternFill patternType="solid">
        <fgColor rgb="FF92D050"/>
        <bgColor indexed="64"/>
      </patternFill>
    </fill>
    <fill>
      <patternFill patternType="solid">
        <fgColor indexed="62"/>
        <bgColor indexed="22"/>
      </patternFill>
    </fill>
    <fill>
      <patternFill patternType="solid">
        <fgColor indexed="62"/>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rgb="FFEDD2CF"/>
        <bgColor indexed="64"/>
      </patternFill>
    </fill>
    <fill>
      <patternFill patternType="solid">
        <fgColor rgb="FFFF0000"/>
        <bgColor indexed="64"/>
      </patternFill>
    </fill>
  </fills>
  <borders count="6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rgb="FF000000"/>
      </right>
      <top/>
      <bottom style="thin">
        <color rgb="FF000000"/>
      </bottom>
      <diagonal/>
    </border>
    <border>
      <left style="thin">
        <color rgb="FF000000"/>
      </left>
      <right style="medium">
        <color rgb="FFEDEDED"/>
      </right>
      <top/>
      <bottom style="thin">
        <color rgb="FF000000"/>
      </bottom>
      <diagonal/>
    </border>
    <border>
      <left/>
      <right style="thin">
        <color rgb="FF000000"/>
      </right>
      <top/>
      <bottom style="medium">
        <color rgb="FFEDEDED"/>
      </bottom>
      <diagonal/>
    </border>
    <border>
      <left style="thin">
        <color rgb="FF000000"/>
      </left>
      <right style="medium">
        <color rgb="FFEDEDED"/>
      </right>
      <top/>
      <bottom style="medium">
        <color rgb="FFEDEDED"/>
      </bottom>
      <diagonal/>
    </border>
    <border>
      <left style="thin">
        <color rgb="FF000000"/>
      </left>
      <right style="medium">
        <color rgb="FFEDEDED"/>
      </right>
      <top style="thin">
        <color rgb="FF000000"/>
      </top>
      <bottom style="medium">
        <color rgb="FFEDEDED"/>
      </bottom>
      <diagonal/>
    </border>
    <border>
      <left style="thin">
        <color rgb="FF000000"/>
      </left>
      <right style="medium">
        <color rgb="FF03A3FF"/>
      </right>
      <top style="thin">
        <color rgb="FF000000"/>
      </top>
      <bottom style="medium">
        <color rgb="FF000000"/>
      </bottom>
      <diagonal/>
    </border>
    <border>
      <left/>
      <right style="thin">
        <color rgb="FF000000"/>
      </right>
      <top style="thin">
        <color rgb="FF000000"/>
      </top>
      <bottom style="medium">
        <color rgb="FF000000"/>
      </bottom>
      <diagonal/>
    </border>
    <border>
      <left style="thick">
        <color theme="1" tint="0.34998626667073579"/>
      </left>
      <right/>
      <top style="thick">
        <color theme="1" tint="0.34998626667073579"/>
      </top>
      <bottom style="medium">
        <color theme="0" tint="-0.499984740745262"/>
      </bottom>
      <diagonal/>
    </border>
    <border>
      <left/>
      <right/>
      <top style="thick">
        <color theme="1" tint="0.34998626667073579"/>
      </top>
      <bottom style="medium">
        <color theme="0" tint="-0.499984740745262"/>
      </bottom>
      <diagonal/>
    </border>
    <border>
      <left/>
      <right style="medium">
        <color theme="0" tint="-0.499984740745262"/>
      </right>
      <top style="thick">
        <color theme="1" tint="0.34998626667073579"/>
      </top>
      <bottom style="medium">
        <color theme="0" tint="-0.499984740745262"/>
      </bottom>
      <diagonal/>
    </border>
    <border>
      <left style="thick">
        <color theme="1" tint="0.499984740745262"/>
      </left>
      <right/>
      <top style="thick">
        <color theme="1" tint="0.499984740745262"/>
      </top>
      <bottom style="medium">
        <color theme="0" tint="-0.499984740745262"/>
      </bottom>
      <diagonal/>
    </border>
    <border>
      <left/>
      <right/>
      <top style="thick">
        <color theme="1" tint="0.499984740745262"/>
      </top>
      <bottom style="medium">
        <color theme="0" tint="-0.499984740745262"/>
      </bottom>
      <diagonal/>
    </border>
    <border>
      <left/>
      <right style="medium">
        <color theme="0" tint="-0.499984740745262"/>
      </right>
      <top style="thick">
        <color theme="1" tint="0.499984740745262"/>
      </top>
      <bottom style="medium">
        <color theme="0" tint="-0.499984740745262"/>
      </bottom>
      <diagonal/>
    </border>
    <border>
      <left style="medium">
        <color rgb="FFEDEDED"/>
      </left>
      <right style="thin">
        <color rgb="FF000000"/>
      </right>
      <top style="thin">
        <color rgb="FF000000"/>
      </top>
      <bottom style="medium">
        <color rgb="FFEDEDED"/>
      </bottom>
      <diagonal/>
    </border>
    <border>
      <left style="thin">
        <color rgb="FF000000"/>
      </left>
      <right style="medium">
        <color rgb="FFEDEDED"/>
      </right>
      <top style="medium">
        <color rgb="FFEDEDED"/>
      </top>
      <bottom style="medium">
        <color rgb="FFEDEDED"/>
      </bottom>
      <diagonal/>
    </border>
    <border>
      <left style="medium">
        <color rgb="FFEDEDED"/>
      </left>
      <right style="thin">
        <color rgb="FF000000"/>
      </right>
      <top style="medium">
        <color rgb="FFEDEDED"/>
      </top>
      <bottom style="medium">
        <color rgb="FFEDEDED"/>
      </bottom>
      <diagonal/>
    </border>
    <border>
      <left style="thin">
        <color rgb="FF000000"/>
      </left>
      <right style="medium">
        <color rgb="FFEDEDED"/>
      </right>
      <top style="medium">
        <color rgb="FFEDEDED"/>
      </top>
      <bottom style="thin">
        <color rgb="FF000000"/>
      </bottom>
      <diagonal/>
    </border>
    <border>
      <left style="medium">
        <color rgb="FFEDEDED"/>
      </left>
      <right style="thin">
        <color rgb="FF000000"/>
      </right>
      <top style="medium">
        <color rgb="FFEDEDED"/>
      </top>
      <bottom style="thin">
        <color rgb="FF000000"/>
      </bottom>
      <diagonal/>
    </border>
    <border>
      <left style="thin">
        <color rgb="FF7F7F7F"/>
      </left>
      <right style="thin">
        <color rgb="FF7F7F7F"/>
      </right>
      <top style="thin">
        <color rgb="FF7F7F7F"/>
      </top>
      <bottom style="thin">
        <color rgb="FF7F7F7F"/>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10"/>
      </left>
      <right style="thin">
        <color indexed="10"/>
      </right>
      <top/>
      <bottom style="thin">
        <color indexed="10"/>
      </bottom>
      <diagonal/>
    </border>
    <border>
      <left style="thin">
        <color indexed="10"/>
      </left>
      <right/>
      <top/>
      <bottom style="thin">
        <color indexed="10"/>
      </bottom>
      <diagonal/>
    </border>
    <border>
      <left style="thin">
        <color indexed="10"/>
      </left>
      <right style="thin">
        <color indexed="10"/>
      </right>
      <top style="thin">
        <color indexed="62"/>
      </top>
      <bottom style="thin">
        <color indexed="10"/>
      </bottom>
      <diagonal/>
    </border>
    <border>
      <left style="thin">
        <color indexed="10"/>
      </left>
      <right style="thin">
        <color indexed="62"/>
      </right>
      <top/>
      <bottom/>
      <diagonal/>
    </border>
    <border>
      <left/>
      <right style="thin">
        <color indexed="62"/>
      </right>
      <top/>
      <bottom/>
      <diagonal/>
    </border>
    <border>
      <left/>
      <right style="thin">
        <color indexed="62"/>
      </right>
      <top style="medium">
        <color indexed="62"/>
      </top>
      <bottom style="thin">
        <color indexed="62"/>
      </bottom>
      <diagonal/>
    </border>
    <border>
      <left/>
      <right/>
      <top style="medium">
        <color indexed="62"/>
      </top>
      <bottom style="thin">
        <color indexed="62"/>
      </bottom>
      <diagonal/>
    </border>
    <border>
      <left style="thin">
        <color indexed="62"/>
      </left>
      <right style="thin">
        <color indexed="62"/>
      </right>
      <top style="medium">
        <color indexed="62"/>
      </top>
      <bottom style="thin">
        <color indexed="62"/>
      </bottom>
      <diagonal/>
    </border>
    <border>
      <left style="thin">
        <color indexed="62"/>
      </left>
      <right style="thin">
        <color indexed="10"/>
      </right>
      <top/>
      <bottom style="thin">
        <color indexed="10"/>
      </bottom>
      <diagonal/>
    </border>
    <border>
      <left style="thin">
        <color indexed="62"/>
      </left>
      <right style="thin">
        <color indexed="10"/>
      </right>
      <top style="thin">
        <color indexed="62"/>
      </top>
      <bottom/>
      <diagonal/>
    </border>
    <border>
      <left/>
      <right/>
      <top/>
      <bottom style="double">
        <color indexed="62"/>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2">
    <xf numFmtId="0" fontId="0" fillId="0" borderId="0"/>
    <xf numFmtId="0" fontId="7" fillId="0" borderId="0" applyNumberFormat="0" applyFill="0" applyBorder="0" applyAlignment="0" applyProtection="0">
      <alignment vertical="top"/>
      <protection locked="0"/>
    </xf>
    <xf numFmtId="43" fontId="12" fillId="0" borderId="0" applyFont="0" applyFill="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33" fillId="20" borderId="0" applyNumberFormat="0" applyBorder="0" applyAlignment="0" applyProtection="0"/>
    <xf numFmtId="0" fontId="40" fillId="21" borderId="43" applyNumberFormat="0" applyAlignment="0" applyProtection="0"/>
    <xf numFmtId="0" fontId="49" fillId="0" borderId="0"/>
    <xf numFmtId="0" fontId="59" fillId="0" borderId="0"/>
  </cellStyleXfs>
  <cellXfs count="390">
    <xf numFmtId="0" fontId="0" fillId="0" borderId="0" xfId="0"/>
    <xf numFmtId="0" fontId="0" fillId="0" borderId="2" xfId="0" applyBorder="1" applyAlignment="1">
      <alignment horizontal="center"/>
    </xf>
    <xf numFmtId="0" fontId="1" fillId="0" borderId="0" xfId="0" applyFont="1"/>
    <xf numFmtId="0" fontId="0" fillId="0" borderId="0" xfId="0" applyAlignment="1">
      <alignment horizontal="center"/>
    </xf>
    <xf numFmtId="0" fontId="3" fillId="0" borderId="0" xfId="0" applyFont="1" applyAlignment="1">
      <alignment horizontal="center" vertical="center" wrapText="1"/>
    </xf>
    <xf numFmtId="0" fontId="7" fillId="0" borderId="0" xfId="1" applyAlignment="1" applyProtection="1"/>
    <xf numFmtId="164" fontId="0" fillId="0" borderId="0" xfId="0" applyNumberFormat="1"/>
    <xf numFmtId="0" fontId="0" fillId="0" borderId="0" xfId="0" applyAlignment="1">
      <alignment horizontal="center" vertical="center" wrapText="1"/>
    </xf>
    <xf numFmtId="3" fontId="0" fillId="2" borderId="1" xfId="0" applyNumberFormat="1" applyFill="1" applyBorder="1" applyAlignment="1" applyProtection="1">
      <alignment horizontal="center"/>
      <protection locked="0"/>
    </xf>
    <xf numFmtId="0" fontId="3" fillId="0" borderId="0" xfId="0" applyFont="1"/>
    <xf numFmtId="0" fontId="0" fillId="3" borderId="0" xfId="0" applyFill="1" applyBorder="1" applyAlignment="1">
      <alignment horizontal="center"/>
    </xf>
    <xf numFmtId="0" fontId="10" fillId="0" borderId="4" xfId="0" applyFont="1" applyBorder="1" applyAlignment="1">
      <alignment vertical="top" wrapText="1"/>
    </xf>
    <xf numFmtId="0" fontId="4" fillId="0" borderId="0" xfId="0" applyFont="1" applyAlignment="1">
      <alignment horizontal="justify" vertical="top" wrapText="1"/>
    </xf>
    <xf numFmtId="0" fontId="0" fillId="0" borderId="0" xfId="0" applyAlignment="1">
      <alignment horizontal="center" vertical="center"/>
    </xf>
    <xf numFmtId="0" fontId="0" fillId="0" borderId="0" xfId="0" applyAlignment="1">
      <alignment vertical="center"/>
    </xf>
    <xf numFmtId="165" fontId="0" fillId="0" borderId="0" xfId="0" applyNumberFormat="1"/>
    <xf numFmtId="166" fontId="11" fillId="0" borderId="4" xfId="0" applyNumberFormat="1" applyFont="1" applyBorder="1" applyAlignment="1">
      <alignment horizontal="left" vertical="top" wrapText="1"/>
    </xf>
    <xf numFmtId="15" fontId="0" fillId="0" borderId="0" xfId="0" applyNumberFormat="1"/>
    <xf numFmtId="0" fontId="0" fillId="0" borderId="0" xfId="0" quotePrefix="1"/>
    <xf numFmtId="3" fontId="11" fillId="0" borderId="4" xfId="0" applyNumberFormat="1" applyFont="1" applyBorder="1" applyAlignment="1">
      <alignment horizontal="center" vertical="top" wrapText="1"/>
    </xf>
    <xf numFmtId="0" fontId="11" fillId="0" borderId="5" xfId="0" applyFont="1" applyBorder="1" applyAlignment="1">
      <alignment vertical="top" wrapText="1"/>
    </xf>
    <xf numFmtId="0" fontId="11" fillId="0" borderId="6" xfId="0" applyFont="1" applyBorder="1" applyAlignment="1">
      <alignment vertical="top" wrapText="1"/>
    </xf>
    <xf numFmtId="0" fontId="11" fillId="0" borderId="7" xfId="0" applyFont="1" applyBorder="1" applyAlignment="1">
      <alignment vertical="top" wrapText="1"/>
    </xf>
    <xf numFmtId="3" fontId="0" fillId="2" borderId="1" xfId="0" applyNumberFormat="1" applyFill="1" applyBorder="1" applyAlignment="1" applyProtection="1">
      <alignment horizontal="center"/>
    </xf>
    <xf numFmtId="0" fontId="1" fillId="3" borderId="8" xfId="0" applyFont="1" applyFill="1" applyBorder="1"/>
    <xf numFmtId="0" fontId="1" fillId="3" borderId="9" xfId="0" applyFont="1" applyFill="1" applyBorder="1"/>
    <xf numFmtId="0" fontId="3" fillId="0" borderId="10" xfId="0" applyFont="1" applyBorder="1"/>
    <xf numFmtId="165" fontId="3" fillId="0" borderId="11" xfId="0" applyNumberFormat="1" applyFont="1" applyBorder="1" applyAlignment="1">
      <alignment horizontal="left"/>
    </xf>
    <xf numFmtId="0" fontId="3" fillId="0" borderId="12" xfId="0" applyFont="1" applyBorder="1"/>
    <xf numFmtId="165" fontId="3" fillId="0" borderId="13" xfId="0" applyNumberFormat="1" applyFont="1" applyBorder="1" applyAlignment="1">
      <alignment horizontal="left"/>
    </xf>
    <xf numFmtId="0" fontId="0" fillId="3" borderId="9" xfId="0" applyFill="1" applyBorder="1"/>
    <xf numFmtId="0" fontId="0" fillId="3" borderId="0" xfId="0" applyFill="1" applyBorder="1"/>
    <xf numFmtId="0" fontId="2" fillId="3" borderId="0" xfId="0" applyFont="1" applyFill="1" applyBorder="1"/>
    <xf numFmtId="0" fontId="8" fillId="3" borderId="0" xfId="0" applyFont="1" applyFill="1" applyBorder="1"/>
    <xf numFmtId="0" fontId="0" fillId="3" borderId="14" xfId="0" applyFill="1" applyBorder="1"/>
    <xf numFmtId="0" fontId="0" fillId="3" borderId="15" xfId="0" applyFill="1" applyBorder="1"/>
    <xf numFmtId="0" fontId="0" fillId="3" borderId="16" xfId="0" applyFill="1" applyBorder="1"/>
    <xf numFmtId="0" fontId="0" fillId="3" borderId="17" xfId="0" applyFill="1" applyBorder="1"/>
    <xf numFmtId="0" fontId="0" fillId="3" borderId="18" xfId="0" applyFill="1" applyBorder="1"/>
    <xf numFmtId="0" fontId="0" fillId="3" borderId="0" xfId="0" applyFill="1" applyBorder="1" applyAlignment="1">
      <alignment horizontal="right"/>
    </xf>
    <xf numFmtId="0" fontId="0" fillId="3" borderId="19" xfId="0" applyFill="1" applyBorder="1"/>
    <xf numFmtId="0" fontId="0" fillId="3" borderId="20" xfId="0" applyFill="1" applyBorder="1"/>
    <xf numFmtId="0" fontId="0" fillId="3" borderId="21" xfId="0" applyFill="1" applyBorder="1"/>
    <xf numFmtId="165" fontId="0" fillId="0" borderId="0" xfId="0" applyNumberFormat="1" applyAlignment="1">
      <alignment horizontal="left"/>
    </xf>
    <xf numFmtId="0" fontId="0" fillId="0" borderId="0" xfId="0" applyAlignment="1">
      <alignment horizontal="left" indent="7"/>
    </xf>
    <xf numFmtId="0" fontId="14" fillId="0" borderId="0" xfId="0" applyFont="1"/>
    <xf numFmtId="0" fontId="0" fillId="0" borderId="0" xfId="0"/>
    <xf numFmtId="0" fontId="0" fillId="0" borderId="0" xfId="0"/>
    <xf numFmtId="0" fontId="1" fillId="3" borderId="9" xfId="0" applyFont="1" applyFill="1" applyBorder="1" applyProtection="1">
      <protection locked="0"/>
    </xf>
    <xf numFmtId="0" fontId="0" fillId="0" borderId="0" xfId="0"/>
    <xf numFmtId="0" fontId="18" fillId="8" borderId="0" xfId="0" applyFont="1" applyFill="1" applyAlignment="1">
      <alignment horizontal="center" wrapText="1"/>
    </xf>
    <xf numFmtId="0" fontId="17" fillId="9" borderId="0" xfId="0" applyFont="1" applyFill="1" applyAlignment="1">
      <alignment wrapText="1"/>
    </xf>
    <xf numFmtId="0" fontId="17" fillId="6" borderId="0" xfId="0" applyFont="1" applyFill="1" applyAlignment="1">
      <alignment wrapText="1"/>
    </xf>
    <xf numFmtId="0" fontId="18" fillId="8" borderId="0" xfId="0" applyFont="1" applyFill="1" applyAlignment="1">
      <alignment horizontal="center" vertical="top" wrapText="1"/>
    </xf>
    <xf numFmtId="0" fontId="17" fillId="6" borderId="0" xfId="0" applyFont="1" applyFill="1" applyAlignment="1">
      <alignment horizontal="center" vertical="top" wrapText="1"/>
    </xf>
    <xf numFmtId="0" fontId="17" fillId="9" borderId="0" xfId="0" applyFont="1" applyFill="1" applyAlignment="1">
      <alignment horizontal="center" vertical="top" wrapText="1"/>
    </xf>
    <xf numFmtId="167" fontId="17" fillId="6" borderId="0" xfId="0" applyNumberFormat="1" applyFont="1" applyFill="1" applyAlignment="1">
      <alignment horizontal="left" vertical="center" wrapText="1"/>
    </xf>
    <xf numFmtId="167" fontId="17" fillId="9" borderId="0" xfId="0" applyNumberFormat="1" applyFont="1" applyFill="1" applyAlignment="1">
      <alignment horizontal="left" vertical="center" wrapText="1"/>
    </xf>
    <xf numFmtId="49" fontId="0" fillId="0" borderId="0" xfId="0" applyNumberFormat="1"/>
    <xf numFmtId="166" fontId="0" fillId="0" borderId="0" xfId="0" applyNumberFormat="1"/>
    <xf numFmtId="166" fontId="17" fillId="9" borderId="0" xfId="0" applyNumberFormat="1" applyFont="1" applyFill="1" applyAlignment="1">
      <alignment horizontal="left" vertical="center" wrapText="1"/>
    </xf>
    <xf numFmtId="166" fontId="17" fillId="6" borderId="0" xfId="0" applyNumberFormat="1" applyFont="1" applyFill="1" applyAlignment="1">
      <alignment horizontal="left" vertical="center" wrapText="1"/>
    </xf>
    <xf numFmtId="165" fontId="3" fillId="0" borderId="0" xfId="0" applyNumberFormat="1" applyFont="1" applyBorder="1" applyAlignment="1">
      <alignment horizontal="left"/>
    </xf>
    <xf numFmtId="0" fontId="0" fillId="0" borderId="0" xfId="0"/>
    <xf numFmtId="0" fontId="19" fillId="0" borderId="12" xfId="0" applyFont="1" applyBorder="1"/>
    <xf numFmtId="165" fontId="20" fillId="0" borderId="13" xfId="0" applyNumberFormat="1" applyFont="1" applyBorder="1" applyAlignment="1">
      <alignment horizontal="left"/>
    </xf>
    <xf numFmtId="0" fontId="0" fillId="0" borderId="0" xfId="0"/>
    <xf numFmtId="0" fontId="0" fillId="0" borderId="0" xfId="0"/>
    <xf numFmtId="0" fontId="0" fillId="0" borderId="2" xfId="0" applyBorder="1"/>
    <xf numFmtId="0" fontId="0" fillId="0" borderId="2" xfId="0" applyBorder="1" applyAlignment="1">
      <alignment horizontal="center" vertical="center"/>
    </xf>
    <xf numFmtId="165" fontId="0" fillId="0" borderId="2" xfId="0" applyNumberFormat="1" applyBorder="1" applyAlignment="1">
      <alignment horizontal="left"/>
    </xf>
    <xf numFmtId="0" fontId="0" fillId="0" borderId="0" xfId="0"/>
    <xf numFmtId="14" fontId="17" fillId="9" borderId="0" xfId="0" applyNumberFormat="1" applyFont="1" applyFill="1" applyAlignment="1">
      <alignment horizontal="center" vertical="top" wrapText="1"/>
    </xf>
    <xf numFmtId="166" fontId="17" fillId="6" borderId="0" xfId="0" applyNumberFormat="1" applyFont="1" applyFill="1" applyAlignment="1">
      <alignment horizontal="center" vertical="center" wrapText="1"/>
    </xf>
    <xf numFmtId="166" fontId="17" fillId="9" borderId="0" xfId="0" applyNumberFormat="1" applyFont="1" applyFill="1" applyAlignment="1">
      <alignment horizontal="center" vertical="center" wrapText="1"/>
    </xf>
    <xf numFmtId="0" fontId="0" fillId="5" borderId="0" xfId="0" applyFill="1" applyBorder="1" applyAlignment="1" applyProtection="1">
      <protection locked="0"/>
    </xf>
    <xf numFmtId="0" fontId="0" fillId="0" borderId="0" xfId="0"/>
    <xf numFmtId="0" fontId="14" fillId="3" borderId="0" xfId="0" applyFont="1" applyFill="1" applyBorder="1" applyAlignment="1">
      <alignment horizontal="right"/>
    </xf>
    <xf numFmtId="0" fontId="8" fillId="3" borderId="0" xfId="0" applyFont="1" applyFill="1" applyBorder="1" applyProtection="1">
      <protection locked="0"/>
    </xf>
    <xf numFmtId="0" fontId="0" fillId="3" borderId="0" xfId="0" applyFill="1" applyBorder="1" applyProtection="1"/>
    <xf numFmtId="0" fontId="0" fillId="3" borderId="20" xfId="0" applyFill="1" applyBorder="1" applyProtection="1"/>
    <xf numFmtId="0" fontId="8" fillId="3" borderId="0" xfId="0" applyFont="1" applyFill="1" applyBorder="1" applyProtection="1">
      <protection hidden="1"/>
    </xf>
    <xf numFmtId="0" fontId="8" fillId="3" borderId="0" xfId="0" applyFont="1" applyFill="1" applyBorder="1" applyAlignment="1" applyProtection="1">
      <alignment horizontal="right"/>
      <protection hidden="1"/>
    </xf>
    <xf numFmtId="0" fontId="8" fillId="3" borderId="20" xfId="0" applyFont="1" applyFill="1" applyBorder="1" applyAlignment="1" applyProtection="1">
      <alignment horizontal="right"/>
      <protection hidden="1"/>
    </xf>
    <xf numFmtId="0" fontId="0" fillId="0" borderId="0" xfId="0" applyBorder="1" applyAlignment="1" applyProtection="1">
      <protection locked="0"/>
    </xf>
    <xf numFmtId="0" fontId="1" fillId="3" borderId="24" xfId="0" applyFont="1" applyFill="1" applyBorder="1"/>
    <xf numFmtId="0" fontId="3" fillId="0" borderId="0" xfId="0" applyFont="1" applyBorder="1"/>
    <xf numFmtId="0" fontId="3" fillId="0" borderId="3" xfId="0" applyFont="1" applyBorder="1"/>
    <xf numFmtId="0" fontId="19" fillId="0" borderId="3" xfId="0" applyFont="1" applyBorder="1"/>
    <xf numFmtId="0" fontId="23" fillId="5" borderId="0" xfId="0" applyFont="1" applyFill="1" applyBorder="1"/>
    <xf numFmtId="0" fontId="0" fillId="0" borderId="0" xfId="0"/>
    <xf numFmtId="0" fontId="0" fillId="0" borderId="0" xfId="0"/>
    <xf numFmtId="0" fontId="15" fillId="10" borderId="0" xfId="0" applyFont="1" applyFill="1" applyAlignment="1">
      <alignment horizontal="center" vertical="center" wrapText="1"/>
    </xf>
    <xf numFmtId="0" fontId="25" fillId="0" borderId="0" xfId="0" applyFont="1" applyAlignment="1">
      <alignment horizontal="center" wrapText="1"/>
    </xf>
    <xf numFmtId="0" fontId="0" fillId="0" borderId="0" xfId="0" applyAlignment="1">
      <alignment horizontal="center"/>
    </xf>
    <xf numFmtId="0" fontId="0" fillId="0" borderId="0" xfId="0"/>
    <xf numFmtId="0" fontId="0" fillId="0" borderId="0" xfId="0"/>
    <xf numFmtId="164" fontId="0" fillId="0" borderId="0" xfId="0" applyNumberFormat="1" applyAlignment="1">
      <alignment horizontal="center"/>
    </xf>
    <xf numFmtId="0" fontId="0" fillId="10" borderId="0" xfId="0" applyFill="1"/>
    <xf numFmtId="0" fontId="0" fillId="0" borderId="0" xfId="0"/>
    <xf numFmtId="14" fontId="0" fillId="0" borderId="0" xfId="0" applyNumberFormat="1"/>
    <xf numFmtId="43" fontId="0" fillId="0" borderId="0" xfId="2" applyFont="1"/>
    <xf numFmtId="0" fontId="3" fillId="4" borderId="0" xfId="0" applyFont="1" applyFill="1" applyAlignment="1">
      <alignment horizontal="center" vertical="center" wrapText="1"/>
    </xf>
    <xf numFmtId="0" fontId="0" fillId="10" borderId="0" xfId="0" applyFill="1" applyAlignment="1">
      <alignment horizontal="center"/>
    </xf>
    <xf numFmtId="0" fontId="0" fillId="0" borderId="0" xfId="0" applyAlignment="1">
      <alignment horizontal="center"/>
    </xf>
    <xf numFmtId="0" fontId="0" fillId="0" borderId="0" xfId="0"/>
    <xf numFmtId="0" fontId="0" fillId="0" borderId="0" xfId="0"/>
    <xf numFmtId="0" fontId="0" fillId="0" borderId="0" xfId="0"/>
    <xf numFmtId="0" fontId="0" fillId="0" borderId="0" xfId="0" applyAlignment="1">
      <alignment horizontal="center"/>
    </xf>
    <xf numFmtId="14" fontId="0" fillId="2" borderId="0" xfId="0" applyNumberFormat="1" applyFill="1"/>
    <xf numFmtId="0" fontId="0" fillId="16" borderId="0" xfId="0" applyFill="1"/>
    <xf numFmtId="0" fontId="31" fillId="16" borderId="0" xfId="0" applyFont="1" applyFill="1" applyBorder="1" applyAlignment="1">
      <alignment horizontal="left" vertical="center" indent="1"/>
    </xf>
    <xf numFmtId="0" fontId="31" fillId="0" borderId="0" xfId="0" applyFont="1" applyBorder="1" applyAlignment="1">
      <alignment horizontal="left" vertical="center" indent="1"/>
    </xf>
    <xf numFmtId="0" fontId="31" fillId="0" borderId="25" xfId="0" applyFont="1" applyBorder="1" applyAlignment="1">
      <alignment horizontal="left" vertical="center" indent="1"/>
    </xf>
    <xf numFmtId="0" fontId="31" fillId="0" borderId="26" xfId="0" applyFont="1" applyBorder="1" applyAlignment="1">
      <alignment horizontal="left" vertical="center" indent="1"/>
    </xf>
    <xf numFmtId="0" fontId="31" fillId="0" borderId="27" xfId="0" applyFont="1" applyBorder="1" applyAlignment="1">
      <alignment horizontal="left" vertical="center" indent="1"/>
    </xf>
    <xf numFmtId="0" fontId="31" fillId="0" borderId="28" xfId="0" applyFont="1" applyBorder="1" applyAlignment="1">
      <alignment horizontal="left" vertical="center" indent="1"/>
    </xf>
    <xf numFmtId="0" fontId="31" fillId="0" borderId="28" xfId="0" applyFont="1" applyBorder="1" applyAlignment="1">
      <alignment horizontal="left" vertical="center" wrapText="1" indent="1"/>
    </xf>
    <xf numFmtId="0" fontId="31" fillId="0" borderId="27" xfId="0" applyFont="1" applyBorder="1" applyAlignment="1">
      <alignment horizontal="left" vertical="center" wrapText="1" indent="1"/>
    </xf>
    <xf numFmtId="0" fontId="31" fillId="0" borderId="26" xfId="0" applyFont="1" applyBorder="1" applyAlignment="1">
      <alignment horizontal="left" vertical="center" wrapText="1" indent="1"/>
    </xf>
    <xf numFmtId="0" fontId="31" fillId="0" borderId="25" xfId="0" applyFont="1" applyBorder="1" applyAlignment="1">
      <alignment horizontal="left" vertical="center" wrapText="1" indent="1"/>
    </xf>
    <xf numFmtId="0" fontId="32" fillId="17" borderId="30" xfId="0" applyFont="1" applyFill="1" applyBorder="1" applyAlignment="1">
      <alignment horizontal="left" vertical="center" wrapText="1" indent="1"/>
    </xf>
    <xf numFmtId="0" fontId="32" fillId="17" borderId="31" xfId="0" applyFont="1" applyFill="1" applyBorder="1" applyAlignment="1">
      <alignment horizontal="left" vertical="center" wrapText="1" indent="1"/>
    </xf>
    <xf numFmtId="0" fontId="31" fillId="0" borderId="0" xfId="0" applyFont="1" applyBorder="1" applyAlignment="1">
      <alignment horizontal="left" vertical="center" wrapText="1" indent="1"/>
    </xf>
    <xf numFmtId="0" fontId="29" fillId="11" borderId="0" xfId="3" applyAlignment="1">
      <alignment horizontal="center" vertical="center" wrapText="1"/>
    </xf>
    <xf numFmtId="0" fontId="29" fillId="12" borderId="0" xfId="4" applyAlignment="1">
      <alignment horizontal="center" vertical="center" wrapText="1"/>
    </xf>
    <xf numFmtId="0" fontId="32" fillId="17" borderId="30" xfId="0" applyFont="1" applyFill="1" applyBorder="1" applyAlignment="1">
      <alignment horizontal="left" vertical="center" indent="1"/>
    </xf>
    <xf numFmtId="0" fontId="32" fillId="17" borderId="31" xfId="0" applyFont="1" applyFill="1" applyBorder="1" applyAlignment="1">
      <alignment horizontal="left" vertical="center" indent="1"/>
    </xf>
    <xf numFmtId="0" fontId="29" fillId="13" borderId="0" xfId="5" applyAlignment="1">
      <alignment horizontal="center" vertical="center" wrapText="1"/>
    </xf>
    <xf numFmtId="0" fontId="29" fillId="14" borderId="0" xfId="6" applyAlignment="1">
      <alignment horizontal="center" vertical="center" wrapText="1"/>
    </xf>
    <xf numFmtId="164" fontId="0" fillId="0" borderId="0" xfId="0" applyNumberFormat="1" applyFill="1"/>
    <xf numFmtId="0" fontId="0" fillId="0" borderId="0" xfId="0" applyFill="1"/>
    <xf numFmtId="165" fontId="0" fillId="0" borderId="0" xfId="0" applyNumberFormat="1" applyFill="1"/>
    <xf numFmtId="0" fontId="1" fillId="0" borderId="0" xfId="0" applyFont="1" applyFill="1"/>
    <xf numFmtId="0" fontId="0" fillId="0" borderId="0" xfId="0" applyFill="1" applyAlignment="1">
      <alignment horizontal="center"/>
    </xf>
    <xf numFmtId="0" fontId="29" fillId="15" borderId="0" xfId="7" applyAlignment="1">
      <alignment horizontal="center" vertical="center" wrapText="1"/>
    </xf>
    <xf numFmtId="0" fontId="27" fillId="0" borderId="0" xfId="0" applyFont="1" applyAlignment="1">
      <alignment vertical="center"/>
    </xf>
    <xf numFmtId="0" fontId="23" fillId="18" borderId="0" xfId="0" applyFont="1" applyFill="1" applyAlignment="1">
      <alignment horizontal="center" vertical="center" wrapText="1"/>
    </xf>
    <xf numFmtId="0" fontId="3" fillId="19" borderId="0" xfId="0" applyFont="1" applyFill="1" applyAlignment="1">
      <alignment horizontal="center" vertical="center" wrapText="1"/>
    </xf>
    <xf numFmtId="0" fontId="0" fillId="19" borderId="0" xfId="0" applyFill="1"/>
    <xf numFmtId="0" fontId="0" fillId="19" borderId="0" xfId="0" applyFill="1" applyAlignment="1">
      <alignment horizontal="center" vertical="center" wrapText="1"/>
    </xf>
    <xf numFmtId="0" fontId="29" fillId="11" borderId="0" xfId="3" applyAlignment="1">
      <alignment horizontal="center" vertical="center" wrapText="1"/>
    </xf>
    <xf numFmtId="0" fontId="0" fillId="0" borderId="0" xfId="0"/>
    <xf numFmtId="0" fontId="31" fillId="16" borderId="3" xfId="0" applyFont="1" applyFill="1" applyBorder="1" applyAlignment="1">
      <alignment horizontal="left" vertical="center" indent="1"/>
    </xf>
    <xf numFmtId="0" fontId="0" fillId="16" borderId="3" xfId="0" applyFill="1" applyBorder="1"/>
    <xf numFmtId="14" fontId="0" fillId="2" borderId="3" xfId="0" applyNumberFormat="1" applyFill="1" applyBorder="1"/>
    <xf numFmtId="0" fontId="33" fillId="20" borderId="0" xfId="8" applyAlignment="1">
      <alignment horizontal="center" vertical="center" wrapText="1"/>
    </xf>
    <xf numFmtId="0" fontId="33" fillId="20" borderId="0" xfId="8"/>
    <xf numFmtId="0" fontId="37" fillId="6" borderId="29" xfId="0" applyFont="1" applyFill="1" applyBorder="1" applyAlignment="1">
      <alignment vertical="top" wrapText="1" indent="1"/>
    </xf>
    <xf numFmtId="0" fontId="36" fillId="6" borderId="38" xfId="0" applyFont="1" applyFill="1" applyBorder="1" applyAlignment="1">
      <alignment vertical="top" wrapText="1" indent="1"/>
    </xf>
    <xf numFmtId="0" fontId="37" fillId="6" borderId="39" xfId="0" applyFont="1" applyFill="1" applyBorder="1" applyAlignment="1">
      <alignment vertical="top" wrapText="1" indent="1"/>
    </xf>
    <xf numFmtId="0" fontId="36" fillId="6" borderId="40" xfId="0" applyFont="1" applyFill="1" applyBorder="1" applyAlignment="1">
      <alignment vertical="top" wrapText="1" indent="1"/>
    </xf>
    <xf numFmtId="0" fontId="37" fillId="6" borderId="41" xfId="0" applyFont="1" applyFill="1" applyBorder="1" applyAlignment="1">
      <alignment vertical="top" wrapText="1" indent="1"/>
    </xf>
    <xf numFmtId="0" fontId="36" fillId="6" borderId="42" xfId="0" applyFont="1" applyFill="1" applyBorder="1" applyAlignment="1">
      <alignment vertical="top" wrapText="1" indent="1"/>
    </xf>
    <xf numFmtId="0" fontId="0" fillId="0" borderId="0" xfId="0"/>
    <xf numFmtId="0" fontId="38" fillId="0" borderId="0" xfId="0" applyFont="1"/>
    <xf numFmtId="0" fontId="39" fillId="0" borderId="0" xfId="0" applyFont="1"/>
    <xf numFmtId="0" fontId="0" fillId="0" borderId="0" xfId="0"/>
    <xf numFmtId="0" fontId="11" fillId="0" borderId="4" xfId="0" applyNumberFormat="1" applyFont="1" applyBorder="1" applyAlignment="1">
      <alignment horizontal="center" vertical="top" wrapText="1"/>
    </xf>
    <xf numFmtId="0" fontId="29" fillId="14" borderId="0" xfId="6" applyAlignment="1">
      <alignment horizontal="center" vertical="center" wrapText="1"/>
    </xf>
    <xf numFmtId="0" fontId="0" fillId="0" borderId="0" xfId="0"/>
    <xf numFmtId="0" fontId="0" fillId="0" borderId="0" xfId="0"/>
    <xf numFmtId="0" fontId="38" fillId="0" borderId="0" xfId="0" applyFont="1" applyFill="1" applyAlignment="1">
      <alignment horizontal="center"/>
    </xf>
    <xf numFmtId="165" fontId="38" fillId="0" borderId="0" xfId="0" applyNumberFormat="1" applyFont="1" applyFill="1"/>
    <xf numFmtId="0" fontId="4" fillId="0" borderId="0" xfId="0" applyFont="1" applyFill="1" applyAlignment="1">
      <alignment wrapText="1"/>
    </xf>
    <xf numFmtId="0" fontId="3" fillId="0" borderId="0" xfId="0" applyFont="1" applyFill="1" applyAlignment="1">
      <alignment horizontal="center" vertical="center" wrapText="1"/>
    </xf>
    <xf numFmtId="0" fontId="4" fillId="0" borderId="0" xfId="0" applyFont="1" applyFill="1"/>
    <xf numFmtId="0" fontId="4" fillId="0" borderId="0" xfId="0" applyFont="1" applyAlignment="1">
      <alignment vertical="center" wrapText="1"/>
    </xf>
    <xf numFmtId="0" fontId="4" fillId="0" borderId="0" xfId="0" applyFont="1" applyAlignment="1"/>
    <xf numFmtId="0" fontId="0" fillId="0" borderId="0" xfId="0"/>
    <xf numFmtId="0" fontId="41" fillId="0" borderId="12" xfId="0" applyFont="1" applyBorder="1"/>
    <xf numFmtId="0" fontId="41" fillId="0" borderId="3" xfId="0" applyFont="1" applyBorder="1"/>
    <xf numFmtId="165" fontId="41" fillId="0" borderId="13" xfId="0" applyNumberFormat="1" applyFont="1" applyBorder="1" applyAlignment="1">
      <alignment horizontal="left"/>
    </xf>
    <xf numFmtId="0" fontId="37" fillId="6" borderId="0" xfId="0" applyFont="1" applyFill="1" applyBorder="1" applyAlignment="1">
      <alignment vertical="top" wrapText="1" indent="1"/>
    </xf>
    <xf numFmtId="165" fontId="0" fillId="4" borderId="0" xfId="0" applyNumberFormat="1" applyFill="1"/>
    <xf numFmtId="165" fontId="38" fillId="0" borderId="0" xfId="0" applyNumberFormat="1" applyFont="1"/>
    <xf numFmtId="17" fontId="0" fillId="0" borderId="0" xfId="0" applyNumberFormat="1"/>
    <xf numFmtId="0" fontId="15" fillId="22" borderId="0" xfId="0" applyFont="1" applyFill="1" applyAlignment="1">
      <alignment horizontal="center" vertical="center" wrapText="1"/>
    </xf>
    <xf numFmtId="0" fontId="1" fillId="22" borderId="0" xfId="0" applyFont="1" applyFill="1"/>
    <xf numFmtId="17" fontId="1" fillId="0" borderId="0" xfId="0" applyNumberFormat="1" applyFont="1"/>
    <xf numFmtId="0" fontId="43" fillId="21" borderId="43" xfId="9" applyFont="1" applyProtection="1">
      <protection locked="0"/>
    </xf>
    <xf numFmtId="0" fontId="3" fillId="0" borderId="10" xfId="0" applyFont="1" applyBorder="1" applyAlignment="1">
      <alignment horizontal="left" indent="3"/>
    </xf>
    <xf numFmtId="0" fontId="3" fillId="0" borderId="12" xfId="0" applyFont="1" applyBorder="1" applyAlignment="1">
      <alignment horizontal="left" indent="3"/>
    </xf>
    <xf numFmtId="0" fontId="10" fillId="0" borderId="44" xfId="0" applyFont="1" applyBorder="1" applyAlignment="1">
      <alignment horizontal="center" vertical="center" wrapText="1"/>
    </xf>
    <xf numFmtId="0" fontId="46" fillId="0" borderId="45" xfId="0" applyFont="1" applyBorder="1" applyAlignment="1">
      <alignment horizontal="center" vertical="center" wrapText="1"/>
    </xf>
    <xf numFmtId="0" fontId="47" fillId="0" borderId="46" xfId="0" applyFont="1" applyBorder="1" applyAlignment="1">
      <alignment horizontal="center" vertical="center" wrapText="1"/>
    </xf>
    <xf numFmtId="165" fontId="47" fillId="0" borderId="47" xfId="0" applyNumberFormat="1" applyFont="1" applyBorder="1" applyAlignment="1">
      <alignment horizontal="center" vertical="center" wrapText="1"/>
    </xf>
    <xf numFmtId="0" fontId="47" fillId="0" borderId="44" xfId="0" applyFont="1" applyBorder="1" applyAlignment="1">
      <alignment horizontal="center" vertical="center" wrapText="1"/>
    </xf>
    <xf numFmtId="0" fontId="41" fillId="0" borderId="12" xfId="0" applyFont="1" applyBorder="1" applyAlignment="1">
      <alignment horizontal="left" indent="2"/>
    </xf>
    <xf numFmtId="0" fontId="48" fillId="0" borderId="0" xfId="0" applyFont="1"/>
    <xf numFmtId="0" fontId="0" fillId="0" borderId="0" xfId="0"/>
    <xf numFmtId="0" fontId="0" fillId="0" borderId="0" xfId="0"/>
    <xf numFmtId="0" fontId="50" fillId="0" borderId="0" xfId="10" applyFont="1"/>
    <xf numFmtId="169" fontId="51" fillId="0" borderId="48" xfId="10" applyNumberFormat="1" applyFont="1" applyBorder="1" applyAlignment="1">
      <alignment horizontal="right"/>
    </xf>
    <xf numFmtId="169" fontId="51" fillId="0" borderId="49" xfId="10" applyNumberFormat="1" applyFont="1" applyBorder="1" applyAlignment="1">
      <alignment horizontal="right"/>
    </xf>
    <xf numFmtId="0" fontId="51" fillId="0" borderId="48" xfId="10" applyFont="1" applyBorder="1"/>
    <xf numFmtId="6" fontId="51" fillId="0" borderId="50" xfId="10" applyNumberFormat="1" applyFont="1" applyBorder="1" applyAlignment="1">
      <alignment horizontal="right"/>
    </xf>
    <xf numFmtId="170" fontId="51" fillId="0" borderId="49" xfId="10" applyNumberFormat="1" applyFont="1" applyBorder="1" applyAlignment="1">
      <alignment horizontal="right"/>
    </xf>
    <xf numFmtId="0" fontId="51" fillId="0" borderId="51" xfId="10" applyFont="1" applyBorder="1"/>
    <xf numFmtId="0" fontId="51" fillId="0" borderId="52" xfId="10" applyFont="1" applyBorder="1"/>
    <xf numFmtId="0" fontId="53" fillId="23" borderId="55" xfId="10" applyFont="1" applyFill="1" applyBorder="1" applyAlignment="1">
      <alignment horizontal="right"/>
    </xf>
    <xf numFmtId="0" fontId="53" fillId="23" borderId="54" xfId="10" applyFont="1" applyFill="1" applyBorder="1" applyAlignment="1">
      <alignment horizontal="right"/>
    </xf>
    <xf numFmtId="0" fontId="52" fillId="23" borderId="53" xfId="10" applyFont="1" applyFill="1" applyBorder="1"/>
    <xf numFmtId="0" fontId="54" fillId="23" borderId="54" xfId="10" applyFont="1" applyFill="1" applyBorder="1" applyAlignment="1">
      <alignment horizontal="center" vertical="center" wrapText="1"/>
    </xf>
    <xf numFmtId="0" fontId="52" fillId="23" borderId="53" xfId="10" applyFont="1" applyFill="1" applyBorder="1" applyAlignment="1">
      <alignment vertical="center"/>
    </xf>
    <xf numFmtId="9" fontId="51" fillId="0" borderId="48" xfId="10" applyNumberFormat="1" applyFont="1" applyBorder="1" applyAlignment="1">
      <alignment horizontal="right"/>
    </xf>
    <xf numFmtId="171" fontId="51" fillId="0" borderId="50" xfId="10" applyNumberFormat="1" applyFont="1" applyBorder="1" applyAlignment="1">
      <alignment horizontal="right"/>
    </xf>
    <xf numFmtId="10" fontId="51" fillId="0" borderId="50" xfId="10" applyNumberFormat="1" applyFont="1" applyBorder="1" applyAlignment="1">
      <alignment horizontal="right"/>
    </xf>
    <xf numFmtId="169" fontId="51" fillId="0" borderId="48" xfId="10" applyNumberFormat="1" applyFont="1" applyBorder="1" applyAlignment="1">
      <alignment horizontal="right" wrapText="1"/>
    </xf>
    <xf numFmtId="172" fontId="51" fillId="0" borderId="50" xfId="10" applyNumberFormat="1" applyFont="1" applyBorder="1" applyAlignment="1">
      <alignment horizontal="right"/>
    </xf>
    <xf numFmtId="173" fontId="51" fillId="0" borderId="50" xfId="10" applyNumberFormat="1" applyFont="1" applyBorder="1" applyAlignment="1">
      <alignment horizontal="right"/>
    </xf>
    <xf numFmtId="6" fontId="51" fillId="0" borderId="48" xfId="10" applyNumberFormat="1" applyFont="1" applyBorder="1" applyAlignment="1">
      <alignment horizontal="right"/>
    </xf>
    <xf numFmtId="0" fontId="55" fillId="0" borderId="0" xfId="10" applyFont="1" applyAlignment="1">
      <alignment horizontal="right"/>
    </xf>
    <xf numFmtId="0" fontId="55" fillId="0" borderId="0" xfId="10" applyFont="1"/>
    <xf numFmtId="0" fontId="50" fillId="0" borderId="3" xfId="10" applyFont="1" applyBorder="1"/>
    <xf numFmtId="0" fontId="56" fillId="0" borderId="58" xfId="10" applyFont="1" applyBorder="1"/>
    <xf numFmtId="0" fontId="50" fillId="0" borderId="58" xfId="10" applyFont="1" applyBorder="1"/>
    <xf numFmtId="0" fontId="57" fillId="0" borderId="58" xfId="10" applyFont="1" applyBorder="1"/>
    <xf numFmtId="0" fontId="59" fillId="0" borderId="0" xfId="11" applyFill="1" applyBorder="1" applyAlignment="1">
      <alignment horizontal="left" vertical="top"/>
    </xf>
    <xf numFmtId="0" fontId="14" fillId="0" borderId="0" xfId="0" applyFont="1" applyFill="1" applyAlignment="1">
      <alignment horizontal="right" indent="9"/>
    </xf>
    <xf numFmtId="4" fontId="14" fillId="0" borderId="0" xfId="0" applyNumberFormat="1" applyFont="1" applyFill="1" applyAlignment="1">
      <alignment horizontal="right" indent="9"/>
    </xf>
    <xf numFmtId="0" fontId="0" fillId="0" borderId="0" xfId="0" applyNumberFormat="1" applyAlignment="1">
      <alignment horizontal="center"/>
    </xf>
    <xf numFmtId="0" fontId="0" fillId="0" borderId="0" xfId="0"/>
    <xf numFmtId="0" fontId="48" fillId="0" borderId="0" xfId="0" applyFont="1" applyAlignment="1">
      <alignment vertical="center"/>
    </xf>
    <xf numFmtId="0" fontId="0" fillId="0" borderId="0" xfId="0"/>
    <xf numFmtId="0" fontId="0" fillId="0" borderId="0" xfId="0"/>
    <xf numFmtId="0" fontId="51" fillId="0" borderId="0" xfId="10" applyFont="1"/>
    <xf numFmtId="169" fontId="60" fillId="0" borderId="48" xfId="10" applyNumberFormat="1" applyFont="1" applyBorder="1" applyAlignment="1">
      <alignment horizontal="right"/>
    </xf>
    <xf numFmtId="174" fontId="51" fillId="0" borderId="50" xfId="10" applyNumberFormat="1" applyFont="1" applyBorder="1" applyAlignment="1">
      <alignment horizontal="right"/>
    </xf>
    <xf numFmtId="165" fontId="0" fillId="0" borderId="0" xfId="0" applyNumberFormat="1" applyFont="1" applyFill="1"/>
    <xf numFmtId="165" fontId="0" fillId="0" borderId="0" xfId="0" applyNumberFormat="1" applyFont="1"/>
    <xf numFmtId="175" fontId="51" fillId="0" borderId="50" xfId="10" applyNumberFormat="1" applyFont="1" applyBorder="1" applyAlignment="1">
      <alignment horizontal="right"/>
    </xf>
    <xf numFmtId="0" fontId="0" fillId="0" borderId="0" xfId="0"/>
    <xf numFmtId="0" fontId="29" fillId="11" borderId="0" xfId="3" applyAlignment="1">
      <alignment horizontal="center" vertical="center" wrapText="1"/>
    </xf>
    <xf numFmtId="0" fontId="0" fillId="0" borderId="0" xfId="0" applyAlignment="1">
      <alignment horizontal="center"/>
    </xf>
    <xf numFmtId="0" fontId="0" fillId="0" borderId="0" xfId="0" applyFill="1" applyBorder="1"/>
    <xf numFmtId="0" fontId="0" fillId="27" borderId="17" xfId="0" applyFill="1" applyBorder="1"/>
    <xf numFmtId="0" fontId="0" fillId="27" borderId="0" xfId="0" applyFill="1" applyBorder="1"/>
    <xf numFmtId="0" fontId="14" fillId="27" borderId="0" xfId="0" applyFont="1" applyFill="1" applyBorder="1" applyAlignment="1">
      <alignment horizontal="right" indent="1"/>
    </xf>
    <xf numFmtId="0" fontId="14" fillId="27" borderId="0" xfId="0" applyFont="1" applyFill="1" applyBorder="1" applyAlignment="1">
      <alignment horizontal="left" indent="8"/>
    </xf>
    <xf numFmtId="0" fontId="13" fillId="27" borderId="0" xfId="0" applyFont="1" applyFill="1" applyBorder="1"/>
    <xf numFmtId="0" fontId="0" fillId="27" borderId="18" xfId="0" applyFill="1" applyBorder="1"/>
    <xf numFmtId="0" fontId="3" fillId="27" borderId="0" xfId="0" applyFont="1" applyFill="1" applyBorder="1"/>
    <xf numFmtId="0" fontId="3" fillId="27" borderId="18" xfId="0" applyFont="1" applyFill="1" applyBorder="1"/>
    <xf numFmtId="168" fontId="13" fillId="27" borderId="0" xfId="0" applyNumberFormat="1" applyFont="1" applyFill="1" applyBorder="1"/>
    <xf numFmtId="0" fontId="9" fillId="27" borderId="0" xfId="0" applyFont="1" applyFill="1" applyBorder="1" applyAlignment="1">
      <alignment horizontal="right"/>
    </xf>
    <xf numFmtId="0" fontId="13" fillId="27" borderId="0" xfId="0" applyFont="1" applyFill="1" applyBorder="1" applyAlignment="1">
      <alignment horizontal="right"/>
    </xf>
    <xf numFmtId="0" fontId="3" fillId="27" borderId="18" xfId="0" applyFont="1" applyFill="1" applyBorder="1" applyAlignment="1">
      <alignment horizontal="right"/>
    </xf>
    <xf numFmtId="0" fontId="14" fillId="27" borderId="0" xfId="0" applyFont="1" applyFill="1" applyBorder="1"/>
    <xf numFmtId="0" fontId="34" fillId="27" borderId="18" xfId="0" applyFont="1" applyFill="1" applyBorder="1" applyAlignment="1">
      <alignment horizontal="right"/>
    </xf>
    <xf numFmtId="0" fontId="3" fillId="27" borderId="20" xfId="0" applyFont="1" applyFill="1" applyBorder="1"/>
    <xf numFmtId="0" fontId="35" fillId="27" borderId="21" xfId="1" applyFont="1" applyFill="1" applyBorder="1" applyAlignment="1" applyProtection="1">
      <alignment horizontal="right" vertical="top"/>
    </xf>
    <xf numFmtId="0" fontId="3" fillId="27" borderId="17" xfId="0" applyFont="1" applyFill="1" applyBorder="1"/>
    <xf numFmtId="0" fontId="14" fillId="27" borderId="17" xfId="0" applyFont="1" applyFill="1" applyBorder="1"/>
    <xf numFmtId="0" fontId="3" fillId="27" borderId="19" xfId="0" applyFont="1" applyFill="1" applyBorder="1"/>
    <xf numFmtId="0" fontId="0" fillId="0" borderId="0" xfId="0" applyAlignment="1">
      <alignment horizontal="left" indent="2"/>
    </xf>
    <xf numFmtId="14" fontId="3" fillId="0" borderId="0" xfId="0" applyNumberFormat="1" applyFont="1" applyBorder="1"/>
    <xf numFmtId="0" fontId="3" fillId="0" borderId="10" xfId="0" applyFont="1" applyBorder="1" applyAlignment="1">
      <alignment horizontal="left" indent="2"/>
    </xf>
    <xf numFmtId="0" fontId="1" fillId="3" borderId="0" xfId="0" applyFont="1" applyFill="1" applyBorder="1"/>
    <xf numFmtId="0" fontId="3" fillId="0" borderId="0" xfId="0" applyFont="1" applyBorder="1" applyAlignment="1">
      <alignment horizontal="left" indent="2"/>
    </xf>
    <xf numFmtId="165" fontId="3" fillId="25" borderId="11" xfId="0" applyNumberFormat="1" applyFont="1" applyFill="1" applyBorder="1" applyAlignment="1">
      <alignment horizontal="left"/>
    </xf>
    <xf numFmtId="0" fontId="3" fillId="25" borderId="0" xfId="0" applyFont="1" applyFill="1" applyBorder="1"/>
    <xf numFmtId="0" fontId="3" fillId="25" borderId="10" xfId="0" applyFont="1" applyFill="1" applyBorder="1" applyAlignment="1">
      <alignment horizontal="left" indent="2"/>
    </xf>
    <xf numFmtId="0" fontId="0" fillId="25" borderId="0" xfId="0" applyFill="1"/>
    <xf numFmtId="0" fontId="3" fillId="25" borderId="10" xfId="0" applyFont="1" applyFill="1" applyBorder="1"/>
    <xf numFmtId="0" fontId="1" fillId="25" borderId="9" xfId="0" applyFont="1" applyFill="1" applyBorder="1"/>
    <xf numFmtId="0" fontId="1" fillId="25" borderId="24" xfId="0" applyFont="1" applyFill="1" applyBorder="1"/>
    <xf numFmtId="0" fontId="1" fillId="25" borderId="8" xfId="0" applyFont="1" applyFill="1" applyBorder="1"/>
    <xf numFmtId="0" fontId="64" fillId="0" borderId="0" xfId="0" applyFont="1"/>
    <xf numFmtId="0" fontId="64" fillId="0" borderId="0" xfId="0" applyFont="1" applyAlignment="1">
      <alignment wrapText="1"/>
    </xf>
    <xf numFmtId="165" fontId="64" fillId="0" borderId="0" xfId="0" applyNumberFormat="1" applyFont="1" applyBorder="1" applyAlignment="1">
      <alignment horizontal="left"/>
    </xf>
    <xf numFmtId="0" fontId="64" fillId="0" borderId="0" xfId="0" applyFont="1" applyBorder="1"/>
    <xf numFmtId="165" fontId="64" fillId="0" borderId="11" xfId="0" applyNumberFormat="1" applyFont="1" applyBorder="1" applyAlignment="1">
      <alignment horizontal="left"/>
    </xf>
    <xf numFmtId="0" fontId="64" fillId="0" borderId="10" xfId="0" applyFont="1" applyBorder="1"/>
    <xf numFmtId="0" fontId="64" fillId="3" borderId="9" xfId="0" applyFont="1" applyFill="1" applyBorder="1"/>
    <xf numFmtId="0" fontId="65" fillId="3" borderId="24" xfId="0" applyFont="1" applyFill="1" applyBorder="1"/>
    <xf numFmtId="0" fontId="65" fillId="3" borderId="8" xfId="0" applyFont="1" applyFill="1" applyBorder="1"/>
    <xf numFmtId="165" fontId="64" fillId="0" borderId="13" xfId="0" applyNumberFormat="1" applyFont="1" applyBorder="1" applyAlignment="1">
      <alignment horizontal="left"/>
    </xf>
    <xf numFmtId="0" fontId="64" fillId="0" borderId="12" xfId="0" applyFont="1" applyBorder="1" applyAlignment="1">
      <alignment wrapText="1"/>
    </xf>
    <xf numFmtId="0" fontId="65" fillId="3" borderId="0" xfId="0" applyFont="1" applyFill="1" applyBorder="1"/>
    <xf numFmtId="0" fontId="64" fillId="25" borderId="0" xfId="0" applyFont="1" applyFill="1" applyBorder="1"/>
    <xf numFmtId="165" fontId="64" fillId="25" borderId="0" xfId="0" applyNumberFormat="1" applyFont="1" applyFill="1" applyBorder="1" applyAlignment="1">
      <alignment horizontal="left"/>
    </xf>
    <xf numFmtId="0" fontId="64" fillId="25" borderId="0" xfId="0" applyFont="1" applyFill="1" applyBorder="1" applyAlignment="1">
      <alignment wrapText="1"/>
    </xf>
    <xf numFmtId="0" fontId="64" fillId="25" borderId="10" xfId="0" applyFont="1" applyFill="1" applyBorder="1" applyAlignment="1">
      <alignment horizontal="left" wrapText="1"/>
    </xf>
    <xf numFmtId="0" fontId="64" fillId="25" borderId="0" xfId="0" applyFont="1" applyFill="1"/>
    <xf numFmtId="0" fontId="64" fillId="25" borderId="0" xfId="0" applyFont="1" applyFill="1" applyAlignment="1">
      <alignment wrapText="1"/>
    </xf>
    <xf numFmtId="165" fontId="64" fillId="25" borderId="0" xfId="0" applyNumberFormat="1" applyFont="1" applyFill="1" applyBorder="1" applyAlignment="1">
      <alignment horizontal="left" wrapText="1"/>
    </xf>
    <xf numFmtId="0" fontId="64" fillId="25" borderId="10" xfId="0" applyFont="1" applyFill="1" applyBorder="1" applyAlignment="1">
      <alignment wrapText="1"/>
    </xf>
    <xf numFmtId="0" fontId="65" fillId="25" borderId="0" xfId="0" applyFont="1" applyFill="1" applyBorder="1"/>
    <xf numFmtId="0" fontId="65" fillId="25" borderId="0" xfId="0" applyFont="1" applyFill="1" applyBorder="1" applyAlignment="1">
      <alignment wrapText="1"/>
    </xf>
    <xf numFmtId="0" fontId="65" fillId="25" borderId="10" xfId="0" applyFont="1" applyFill="1" applyBorder="1" applyAlignment="1">
      <alignment wrapText="1"/>
    </xf>
    <xf numFmtId="0" fontId="64" fillId="0" borderId="13" xfId="0" applyFont="1" applyBorder="1"/>
    <xf numFmtId="0" fontId="64" fillId="0" borderId="3" xfId="0" applyFont="1" applyBorder="1"/>
    <xf numFmtId="0" fontId="64" fillId="0" borderId="3" xfId="0" applyFont="1" applyBorder="1" applyAlignment="1">
      <alignment wrapText="1"/>
    </xf>
    <xf numFmtId="0" fontId="64" fillId="0" borderId="12" xfId="0" applyFont="1" applyBorder="1"/>
    <xf numFmtId="0" fontId="64" fillId="3" borderId="11" xfId="0" applyFont="1" applyFill="1" applyBorder="1"/>
    <xf numFmtId="0" fontId="64" fillId="3" borderId="0" xfId="0" applyFont="1" applyFill="1" applyBorder="1"/>
    <xf numFmtId="0" fontId="64" fillId="3" borderId="0" xfId="0" applyFont="1" applyFill="1" applyBorder="1" applyAlignment="1">
      <alignment wrapText="1"/>
    </xf>
    <xf numFmtId="0" fontId="64" fillId="3" borderId="10" xfId="0" applyFont="1" applyFill="1" applyBorder="1"/>
    <xf numFmtId="3" fontId="64" fillId="2" borderId="62" xfId="0" applyNumberFormat="1" applyFont="1" applyFill="1" applyBorder="1" applyAlignment="1" applyProtection="1">
      <alignment horizontal="center"/>
    </xf>
    <xf numFmtId="0" fontId="64" fillId="3" borderId="0" xfId="0" applyFont="1" applyFill="1" applyBorder="1" applyAlignment="1">
      <alignment horizontal="right"/>
    </xf>
    <xf numFmtId="3" fontId="64" fillId="2" borderId="1" xfId="0" applyNumberFormat="1" applyFont="1" applyFill="1" applyBorder="1" applyAlignment="1" applyProtection="1">
      <alignment horizontal="center" wrapText="1"/>
      <protection locked="0"/>
    </xf>
    <xf numFmtId="0" fontId="66" fillId="3" borderId="10" xfId="0" applyFont="1" applyFill="1" applyBorder="1"/>
    <xf numFmtId="165" fontId="14" fillId="0" borderId="13" xfId="0" applyNumberFormat="1" applyFont="1" applyBorder="1" applyAlignment="1">
      <alignment horizontal="left"/>
    </xf>
    <xf numFmtId="0" fontId="1" fillId="0" borderId="2" xfId="0" applyFont="1" applyBorder="1" applyAlignment="1">
      <alignment horizontal="center"/>
    </xf>
    <xf numFmtId="0" fontId="1" fillId="0" borderId="22" xfId="0" applyFont="1" applyBorder="1" applyAlignment="1">
      <alignment horizontal="center"/>
    </xf>
    <xf numFmtId="0" fontId="1" fillId="0" borderId="23" xfId="0" applyFont="1" applyBorder="1" applyAlignment="1">
      <alignment horizontal="center"/>
    </xf>
    <xf numFmtId="165" fontId="14" fillId="0" borderId="8" xfId="0" applyNumberFormat="1" applyFont="1" applyBorder="1"/>
    <xf numFmtId="165" fontId="14" fillId="0" borderId="64" xfId="0" applyNumberFormat="1" applyFont="1" applyBorder="1"/>
    <xf numFmtId="165" fontId="14" fillId="0" borderId="24" xfId="0" applyNumberFormat="1" applyFont="1" applyBorder="1"/>
    <xf numFmtId="165" fontId="14" fillId="0" borderId="9" xfId="0" applyNumberFormat="1" applyFont="1" applyBorder="1"/>
    <xf numFmtId="165" fontId="14" fillId="0" borderId="10" xfId="0" applyNumberFormat="1" applyFont="1" applyBorder="1"/>
    <xf numFmtId="165" fontId="14" fillId="0" borderId="65" xfId="0" applyNumberFormat="1" applyFont="1" applyBorder="1"/>
    <xf numFmtId="165" fontId="14" fillId="0" borderId="0" xfId="0" applyNumberFormat="1" applyFont="1" applyBorder="1"/>
    <xf numFmtId="165" fontId="14" fillId="0" borderId="11" xfId="0" applyNumberFormat="1" applyFont="1" applyBorder="1"/>
    <xf numFmtId="165" fontId="14" fillId="0" borderId="12" xfId="0" applyNumberFormat="1" applyFont="1" applyBorder="1"/>
    <xf numFmtId="165" fontId="14" fillId="0" borderId="66" xfId="0" applyNumberFormat="1" applyFont="1" applyBorder="1"/>
    <xf numFmtId="165" fontId="14" fillId="0" borderId="3" xfId="0" applyNumberFormat="1" applyFont="1" applyBorder="1"/>
    <xf numFmtId="165" fontId="14" fillId="0" borderId="13" xfId="0" applyNumberFormat="1" applyFont="1" applyBorder="1"/>
    <xf numFmtId="0" fontId="1" fillId="0" borderId="2"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44" fillId="26" borderId="0" xfId="0" applyFont="1" applyFill="1" applyBorder="1" applyAlignment="1">
      <alignment horizontal="center"/>
    </xf>
    <xf numFmtId="0" fontId="0" fillId="0" borderId="35" xfId="0" applyBorder="1" applyAlignment="1" applyProtection="1">
      <protection locked="0"/>
    </xf>
    <xf numFmtId="0" fontId="0" fillId="0" borderId="36" xfId="0" applyBorder="1" applyAlignment="1" applyProtection="1">
      <protection locked="0"/>
    </xf>
    <xf numFmtId="0" fontId="0" fillId="0" borderId="37" xfId="0" applyBorder="1" applyAlignment="1" applyProtection="1">
      <protection locked="0"/>
    </xf>
    <xf numFmtId="0" fontId="0" fillId="5" borderId="32" xfId="0" applyFill="1" applyBorder="1" applyAlignment="1" applyProtection="1">
      <protection locked="0"/>
    </xf>
    <xf numFmtId="0" fontId="0" fillId="5" borderId="33" xfId="0" applyFill="1" applyBorder="1" applyAlignment="1" applyProtection="1">
      <protection locked="0"/>
    </xf>
    <xf numFmtId="0" fontId="0" fillId="5" borderId="34" xfId="0" applyFill="1" applyBorder="1" applyAlignment="1" applyProtection="1">
      <protection locked="0"/>
    </xf>
    <xf numFmtId="0" fontId="45" fillId="0" borderId="12" xfId="0" applyFont="1" applyBorder="1" applyAlignment="1">
      <alignment horizontal="center"/>
    </xf>
    <xf numFmtId="0" fontId="45" fillId="0" borderId="3" xfId="0" applyFont="1" applyBorder="1" applyAlignment="1">
      <alignment horizontal="center"/>
    </xf>
    <xf numFmtId="0" fontId="45" fillId="0" borderId="13" xfId="0" applyFont="1" applyBorder="1" applyAlignment="1">
      <alignment horizontal="center"/>
    </xf>
    <xf numFmtId="0" fontId="14" fillId="3" borderId="0" xfId="0" applyFont="1" applyFill="1" applyBorder="1" applyAlignment="1">
      <alignment horizontal="right" vertical="center"/>
    </xf>
    <xf numFmtId="0" fontId="4" fillId="0" borderId="0" xfId="0" applyFont="1" applyAlignment="1">
      <alignment vertical="top" wrapText="1"/>
    </xf>
    <xf numFmtId="0" fontId="6" fillId="0" borderId="0" xfId="0" applyFont="1" applyAlignment="1">
      <alignment horizontal="center"/>
    </xf>
    <xf numFmtId="0" fontId="4" fillId="0" borderId="0" xfId="0" applyFont="1" applyAlignment="1">
      <alignment horizontal="justify" vertical="top" wrapText="1"/>
    </xf>
    <xf numFmtId="0" fontId="5" fillId="0" borderId="0" xfId="0" applyFont="1" applyAlignment="1">
      <alignment wrapText="1"/>
    </xf>
    <xf numFmtId="0" fontId="4" fillId="0" borderId="0" xfId="0" applyFont="1" applyAlignment="1">
      <alignment wrapText="1"/>
    </xf>
    <xf numFmtId="0" fontId="29" fillId="14" borderId="0" xfId="6" applyAlignment="1">
      <alignment horizontal="center" vertical="center" wrapText="1"/>
    </xf>
    <xf numFmtId="0" fontId="0" fillId="0" borderId="0" xfId="0" applyAlignment="1">
      <alignment horizontal="center" vertical="center" wrapText="1"/>
    </xf>
    <xf numFmtId="0" fontId="29" fillId="11" borderId="0" xfId="3" applyAlignment="1">
      <alignment horizontal="center" vertical="center" wrapText="1"/>
    </xf>
    <xf numFmtId="0" fontId="30" fillId="0" borderId="0" xfId="0" applyFont="1" applyFill="1" applyAlignment="1">
      <alignment horizontal="left" wrapText="1"/>
    </xf>
    <xf numFmtId="0" fontId="29" fillId="13" borderId="0" xfId="5" applyAlignment="1">
      <alignment horizontal="center" vertical="center" wrapText="1"/>
    </xf>
    <xf numFmtId="0" fontId="61" fillId="0" borderId="0" xfId="0" applyFont="1" applyAlignment="1">
      <alignment horizontal="left" vertical="center" wrapText="1"/>
    </xf>
    <xf numFmtId="0" fontId="5" fillId="0" borderId="0" xfId="0" applyFont="1" applyAlignment="1">
      <alignment horizontal="left" wrapText="1"/>
    </xf>
    <xf numFmtId="0" fontId="42" fillId="0" borderId="0" xfId="0" applyFont="1" applyAlignment="1">
      <alignment horizontal="justify" vertical="top" wrapText="1"/>
    </xf>
    <xf numFmtId="0" fontId="1" fillId="0" borderId="0" xfId="0" applyFont="1" applyAlignment="1">
      <alignment vertical="top" wrapText="1"/>
    </xf>
    <xf numFmtId="0" fontId="5" fillId="0" borderId="0" xfId="0" applyFont="1" applyAlignment="1">
      <alignment vertical="top" wrapText="1"/>
    </xf>
    <xf numFmtId="164" fontId="0" fillId="0" borderId="0" xfId="0" applyNumberFormat="1" applyAlignment="1">
      <alignment vertical="top" wrapText="1"/>
    </xf>
    <xf numFmtId="164" fontId="0" fillId="0" borderId="0" xfId="0" applyNumberFormat="1" applyAlignment="1">
      <alignment vertical="top"/>
    </xf>
    <xf numFmtId="0" fontId="0" fillId="0" borderId="0" xfId="0" applyAlignment="1">
      <alignment vertical="top" wrapText="1"/>
    </xf>
    <xf numFmtId="0" fontId="48" fillId="0" borderId="0" xfId="0" applyFont="1" applyAlignment="1">
      <alignment vertical="center" wrapText="1"/>
    </xf>
    <xf numFmtId="0" fontId="0" fillId="0" borderId="0" xfId="0" applyAlignment="1">
      <alignment wrapText="1"/>
    </xf>
    <xf numFmtId="0" fontId="58" fillId="24" borderId="0" xfId="10" applyFont="1" applyFill="1" applyAlignment="1">
      <alignment horizontal="center" vertical="center"/>
    </xf>
    <xf numFmtId="0" fontId="52" fillId="23" borderId="54" xfId="10" applyFont="1" applyFill="1" applyBorder="1" applyAlignment="1">
      <alignment wrapText="1"/>
    </xf>
    <xf numFmtId="0" fontId="52" fillId="23" borderId="53" xfId="10" applyFont="1" applyFill="1" applyBorder="1" applyAlignment="1">
      <alignment wrapText="1"/>
    </xf>
    <xf numFmtId="169" fontId="51" fillId="0" borderId="57" xfId="10" applyNumberFormat="1" applyFont="1" applyBorder="1" applyAlignment="1">
      <alignment horizontal="right" wrapText="1"/>
    </xf>
    <xf numFmtId="169" fontId="51" fillId="0" borderId="56" xfId="10" applyNumberFormat="1" applyFont="1" applyBorder="1" applyAlignment="1">
      <alignment horizontal="right" wrapText="1"/>
    </xf>
    <xf numFmtId="0" fontId="63" fillId="28" borderId="0" xfId="0" applyFont="1" applyFill="1" applyBorder="1" applyAlignment="1">
      <alignment horizontal="center"/>
    </xf>
    <xf numFmtId="0" fontId="4" fillId="0" borderId="61" xfId="0" applyFont="1" applyBorder="1" applyAlignment="1" applyProtection="1">
      <protection locked="0"/>
    </xf>
    <xf numFmtId="0" fontId="4" fillId="0" borderId="60" xfId="0" applyFont="1" applyBorder="1" applyAlignment="1" applyProtection="1">
      <protection locked="0"/>
    </xf>
    <xf numFmtId="0" fontId="4" fillId="0" borderId="59" xfId="0" applyFont="1" applyBorder="1" applyAlignment="1" applyProtection="1">
      <protection locked="0"/>
    </xf>
    <xf numFmtId="0" fontId="67" fillId="28" borderId="8" xfId="0" applyFont="1" applyFill="1" applyBorder="1" applyAlignment="1">
      <alignment horizontal="center"/>
    </xf>
    <xf numFmtId="0" fontId="67" fillId="28" borderId="24" xfId="0" applyFont="1" applyFill="1" applyBorder="1" applyAlignment="1">
      <alignment horizontal="center"/>
    </xf>
    <xf numFmtId="0" fontId="67" fillId="28" borderId="9" xfId="0" applyFont="1" applyFill="1" applyBorder="1" applyAlignment="1">
      <alignment horizontal="center"/>
    </xf>
    <xf numFmtId="0" fontId="64" fillId="0" borderId="61" xfId="0" applyFont="1" applyBorder="1" applyAlignment="1" applyProtection="1">
      <protection locked="0"/>
    </xf>
    <xf numFmtId="0" fontId="64" fillId="0" borderId="60" xfId="0" applyFont="1" applyBorder="1" applyAlignment="1" applyProtection="1">
      <protection locked="0"/>
    </xf>
    <xf numFmtId="0" fontId="64" fillId="0" borderId="63" xfId="0" applyFont="1" applyBorder="1" applyAlignment="1" applyProtection="1">
      <protection locked="0"/>
    </xf>
    <xf numFmtId="165" fontId="64" fillId="0" borderId="0" xfId="0" applyNumberFormat="1" applyFont="1" applyBorder="1" applyAlignment="1">
      <alignment horizontal="center"/>
    </xf>
    <xf numFmtId="165" fontId="64" fillId="0" borderId="11" xfId="0" applyNumberFormat="1" applyFont="1" applyBorder="1" applyAlignment="1">
      <alignment horizontal="center"/>
    </xf>
    <xf numFmtId="0" fontId="64" fillId="3" borderId="0" xfId="0" applyFont="1" applyFill="1" applyBorder="1" applyAlignment="1">
      <alignment horizontal="center"/>
    </xf>
    <xf numFmtId="0" fontId="11" fillId="0" borderId="0" xfId="0" applyFont="1" applyAlignment="1">
      <alignment horizontal="justify" vertical="top" wrapText="1"/>
    </xf>
    <xf numFmtId="0" fontId="10" fillId="0" borderId="5" xfId="0" applyFont="1" applyBorder="1" applyAlignment="1">
      <alignment horizontal="center" vertical="top" wrapText="1"/>
    </xf>
    <xf numFmtId="0" fontId="10" fillId="0" borderId="6" xfId="0" applyFont="1" applyBorder="1" applyAlignment="1">
      <alignment horizontal="center" vertical="top" wrapText="1"/>
    </xf>
    <xf numFmtId="0" fontId="10" fillId="0" borderId="7" xfId="0" applyFont="1" applyBorder="1" applyAlignment="1">
      <alignment horizontal="center" vertical="top" wrapText="1"/>
    </xf>
    <xf numFmtId="0" fontId="1" fillId="0" borderId="11" xfId="0" applyFont="1" applyBorder="1" applyAlignment="1">
      <alignment horizontal="center" wrapText="1"/>
    </xf>
    <xf numFmtId="0" fontId="1" fillId="0" borderId="13" xfId="0" applyFont="1" applyBorder="1" applyAlignment="1">
      <alignment horizontal="center" wrapText="1"/>
    </xf>
    <xf numFmtId="0" fontId="4" fillId="0" borderId="0" xfId="0" applyNumberFormat="1" applyFont="1" applyAlignment="1">
      <alignment horizontal="center" vertical="top" wrapText="1"/>
    </xf>
    <xf numFmtId="165" fontId="1" fillId="0" borderId="0" xfId="0" applyNumberFormat="1" applyFont="1" applyAlignment="1">
      <alignment horizontal="center"/>
    </xf>
    <xf numFmtId="0" fontId="0" fillId="0" borderId="0" xfId="0" applyAlignment="1">
      <alignment horizontal="center"/>
    </xf>
    <xf numFmtId="0" fontId="14" fillId="0" borderId="0" xfId="0" applyFont="1" applyAlignment="1">
      <alignment horizontal="center"/>
    </xf>
    <xf numFmtId="0" fontId="1" fillId="0" borderId="0" xfId="0" applyFont="1" applyAlignment="1">
      <alignment horizontal="center"/>
    </xf>
    <xf numFmtId="0" fontId="3" fillId="0" borderId="0" xfId="0" applyNumberFormat="1" applyFont="1" applyAlignment="1">
      <alignment horizontal="justify" vertical="top"/>
    </xf>
    <xf numFmtId="0" fontId="21" fillId="0" borderId="22" xfId="0" applyFont="1" applyBorder="1" applyAlignment="1">
      <alignment horizontal="center"/>
    </xf>
    <xf numFmtId="0" fontId="21" fillId="0" borderId="23" xfId="0" applyFont="1" applyBorder="1" applyAlignment="1">
      <alignment horizontal="center"/>
    </xf>
    <xf numFmtId="0" fontId="3" fillId="0" borderId="0" xfId="0" applyNumberFormat="1" applyFont="1" applyAlignment="1">
      <alignment horizontal="center" vertical="top" wrapText="1"/>
    </xf>
    <xf numFmtId="0" fontId="0" fillId="0" borderId="0" xfId="0"/>
    <xf numFmtId="0" fontId="16" fillId="7" borderId="0" xfId="0" applyFont="1" applyFill="1" applyAlignment="1">
      <alignment horizontal="center" wrapText="1"/>
    </xf>
    <xf numFmtId="0" fontId="22" fillId="0" borderId="0" xfId="0" applyFont="1" applyAlignment="1">
      <alignment horizontal="center"/>
    </xf>
    <xf numFmtId="0" fontId="3" fillId="0" borderId="0" xfId="0" applyFont="1" applyAlignment="1">
      <alignment wrapText="1"/>
    </xf>
  </cellXfs>
  <cellStyles count="12">
    <cellStyle name="Énfasis1" xfId="3" builtinId="29"/>
    <cellStyle name="Énfasis2" xfId="4" builtinId="33"/>
    <cellStyle name="Énfasis3" xfId="5" builtinId="37"/>
    <cellStyle name="Énfasis5" xfId="6" builtinId="45"/>
    <cellStyle name="Énfasis6" xfId="7" builtinId="49"/>
    <cellStyle name="Entrada" xfId="9" builtinId="20"/>
    <cellStyle name="Hipervínculo" xfId="1" builtinId="8"/>
    <cellStyle name="Millares" xfId="2" builtinId="3"/>
    <cellStyle name="Neutral" xfId="8" builtinId="28"/>
    <cellStyle name="Normal" xfId="0" builtinId="0"/>
    <cellStyle name="Normal 2" xfId="10"/>
    <cellStyle name="Normal 3" xfId="11"/>
  </cellStyles>
  <dxfs count="0"/>
  <tableStyles count="0" defaultTableStyle="TableStyleMedium9" defaultPivotStyle="PivotStyleLight16"/>
  <colors>
    <mruColors>
      <color rgb="FFEDD2CF"/>
      <color rgb="FFE4BAB6"/>
      <color rgb="FFE3B0AF"/>
      <color rgb="FF297283"/>
      <color rgb="FF64B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D11" lockText="1"/>
</file>

<file path=xl/ctrlProps/ctrlProp2.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DR 2442 Plazos'!A1"/></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0</xdr:rowOff>
    </xdr:from>
    <xdr:to>
      <xdr:col>4</xdr:col>
      <xdr:colOff>0</xdr:colOff>
      <xdr:row>21</xdr:row>
      <xdr:rowOff>0</xdr:rowOff>
    </xdr:to>
    <xdr:sp macro="" textlink="">
      <xdr:nvSpPr>
        <xdr:cNvPr id="4" name="3 Rectángulo redondeado">
          <a:extLst>
            <a:ext uri="{FF2B5EF4-FFF2-40B4-BE49-F238E27FC236}">
              <a16:creationId xmlns="" xmlns:a16="http://schemas.microsoft.com/office/drawing/2014/main" id="{00000000-0008-0000-0000-000004000000}"/>
            </a:ext>
          </a:extLst>
        </xdr:cNvPr>
        <xdr:cNvSpPr/>
      </xdr:nvSpPr>
      <xdr:spPr>
        <a:xfrm>
          <a:off x="140804" y="2286000"/>
          <a:ext cx="5632174" cy="786848"/>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22</xdr:row>
      <xdr:rowOff>0</xdr:rowOff>
    </xdr:from>
    <xdr:to>
      <xdr:col>4</xdr:col>
      <xdr:colOff>0</xdr:colOff>
      <xdr:row>36</xdr:row>
      <xdr:rowOff>0</xdr:rowOff>
    </xdr:to>
    <xdr:sp macro="" textlink="">
      <xdr:nvSpPr>
        <xdr:cNvPr id="5" name="4 Rectángulo redondeado">
          <a:extLst>
            <a:ext uri="{FF2B5EF4-FFF2-40B4-BE49-F238E27FC236}">
              <a16:creationId xmlns="" xmlns:a16="http://schemas.microsoft.com/office/drawing/2014/main" id="{00000000-0008-0000-0000-000005000000}"/>
            </a:ext>
          </a:extLst>
        </xdr:cNvPr>
        <xdr:cNvSpPr/>
      </xdr:nvSpPr>
      <xdr:spPr>
        <a:xfrm>
          <a:off x="428625" y="3343275"/>
          <a:ext cx="5181600" cy="2009775"/>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54</xdr:row>
      <xdr:rowOff>0</xdr:rowOff>
    </xdr:from>
    <xdr:to>
      <xdr:col>4</xdr:col>
      <xdr:colOff>0</xdr:colOff>
      <xdr:row>62</xdr:row>
      <xdr:rowOff>0</xdr:rowOff>
    </xdr:to>
    <xdr:sp macro="" textlink="">
      <xdr:nvSpPr>
        <xdr:cNvPr id="6" name="5 Rectángulo redondeado">
          <a:extLst>
            <a:ext uri="{FF2B5EF4-FFF2-40B4-BE49-F238E27FC236}">
              <a16:creationId xmlns="" xmlns:a16="http://schemas.microsoft.com/office/drawing/2014/main" id="{00000000-0008-0000-0000-000006000000}"/>
            </a:ext>
          </a:extLst>
        </xdr:cNvPr>
        <xdr:cNvSpPr/>
      </xdr:nvSpPr>
      <xdr:spPr>
        <a:xfrm>
          <a:off x="428625" y="5467350"/>
          <a:ext cx="5181600" cy="1095375"/>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63</xdr:row>
      <xdr:rowOff>0</xdr:rowOff>
    </xdr:from>
    <xdr:to>
      <xdr:col>4</xdr:col>
      <xdr:colOff>0</xdr:colOff>
      <xdr:row>68</xdr:row>
      <xdr:rowOff>0</xdr:rowOff>
    </xdr:to>
    <xdr:sp macro="" textlink="">
      <xdr:nvSpPr>
        <xdr:cNvPr id="7" name="6 Rectángulo redondeado">
          <a:extLst>
            <a:ext uri="{FF2B5EF4-FFF2-40B4-BE49-F238E27FC236}">
              <a16:creationId xmlns="" xmlns:a16="http://schemas.microsoft.com/office/drawing/2014/main" id="{00000000-0008-0000-0000-000007000000}"/>
            </a:ext>
          </a:extLst>
        </xdr:cNvPr>
        <xdr:cNvSpPr/>
      </xdr:nvSpPr>
      <xdr:spPr>
        <a:xfrm>
          <a:off x="428625" y="6677025"/>
          <a:ext cx="5181600" cy="485775"/>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68</xdr:row>
      <xdr:rowOff>115956</xdr:rowOff>
    </xdr:from>
    <xdr:to>
      <xdr:col>4</xdr:col>
      <xdr:colOff>0</xdr:colOff>
      <xdr:row>72</xdr:row>
      <xdr:rowOff>8281</xdr:rowOff>
    </xdr:to>
    <xdr:sp macro="" textlink="">
      <xdr:nvSpPr>
        <xdr:cNvPr id="8" name="7 Rectángulo redondeado">
          <a:extLst>
            <a:ext uri="{FF2B5EF4-FFF2-40B4-BE49-F238E27FC236}">
              <a16:creationId xmlns="" xmlns:a16="http://schemas.microsoft.com/office/drawing/2014/main" id="{00000000-0008-0000-0000-000008000000}"/>
            </a:ext>
          </a:extLst>
        </xdr:cNvPr>
        <xdr:cNvSpPr/>
      </xdr:nvSpPr>
      <xdr:spPr>
        <a:xfrm>
          <a:off x="140804" y="10394673"/>
          <a:ext cx="5632174" cy="646043"/>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73</xdr:row>
      <xdr:rowOff>1</xdr:rowOff>
    </xdr:from>
    <xdr:to>
      <xdr:col>4</xdr:col>
      <xdr:colOff>0</xdr:colOff>
      <xdr:row>75</xdr:row>
      <xdr:rowOff>1</xdr:rowOff>
    </xdr:to>
    <xdr:sp macro="" textlink="">
      <xdr:nvSpPr>
        <xdr:cNvPr id="9" name="8 Rectángulo redondeado">
          <a:extLst>
            <a:ext uri="{FF2B5EF4-FFF2-40B4-BE49-F238E27FC236}">
              <a16:creationId xmlns="" xmlns:a16="http://schemas.microsoft.com/office/drawing/2014/main" id="{00000000-0008-0000-0000-000009000000}"/>
            </a:ext>
          </a:extLst>
        </xdr:cNvPr>
        <xdr:cNvSpPr/>
      </xdr:nvSpPr>
      <xdr:spPr>
        <a:xfrm>
          <a:off x="428625" y="7877176"/>
          <a:ext cx="5181600" cy="36195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36</xdr:row>
      <xdr:rowOff>112643</xdr:rowOff>
    </xdr:from>
    <xdr:to>
      <xdr:col>4</xdr:col>
      <xdr:colOff>13252</xdr:colOff>
      <xdr:row>45</xdr:row>
      <xdr:rowOff>0</xdr:rowOff>
    </xdr:to>
    <xdr:sp macro="" textlink="">
      <xdr:nvSpPr>
        <xdr:cNvPr id="10" name="9 Rectángulo redondeado">
          <a:extLst>
            <a:ext uri="{FF2B5EF4-FFF2-40B4-BE49-F238E27FC236}">
              <a16:creationId xmlns="" xmlns:a16="http://schemas.microsoft.com/office/drawing/2014/main" id="{00000000-0008-0000-0000-00000A000000}"/>
            </a:ext>
          </a:extLst>
        </xdr:cNvPr>
        <xdr:cNvSpPr/>
      </xdr:nvSpPr>
      <xdr:spPr>
        <a:xfrm>
          <a:off x="152400" y="5141843"/>
          <a:ext cx="5314122" cy="1252331"/>
        </a:xfrm>
        <a:prstGeom prst="roundRect">
          <a:avLst>
            <a:gd name="adj" fmla="val 2488"/>
          </a:avLst>
        </a:prstGeom>
        <a:noFill/>
        <a:ln>
          <a:solidFill>
            <a:schemeClr val="tx2"/>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37</xdr:row>
      <xdr:rowOff>0</xdr:rowOff>
    </xdr:from>
    <xdr:to>
      <xdr:col>4</xdr:col>
      <xdr:colOff>0</xdr:colOff>
      <xdr:row>45</xdr:row>
      <xdr:rowOff>0</xdr:rowOff>
    </xdr:to>
    <xdr:sp macro="" textlink="">
      <xdr:nvSpPr>
        <xdr:cNvPr id="12" name="11 Rectángulo redondeado">
          <a:extLst>
            <a:ext uri="{FF2B5EF4-FFF2-40B4-BE49-F238E27FC236}">
              <a16:creationId xmlns="" xmlns:a16="http://schemas.microsoft.com/office/drawing/2014/main" id="{00000000-0008-0000-0000-00000C000000}"/>
            </a:ext>
          </a:extLst>
        </xdr:cNvPr>
        <xdr:cNvSpPr/>
      </xdr:nvSpPr>
      <xdr:spPr>
        <a:xfrm>
          <a:off x="152400" y="6811108"/>
          <a:ext cx="5292969" cy="1248507"/>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45</xdr:row>
      <xdr:rowOff>112643</xdr:rowOff>
    </xdr:from>
    <xdr:to>
      <xdr:col>4</xdr:col>
      <xdr:colOff>13252</xdr:colOff>
      <xdr:row>53</xdr:row>
      <xdr:rowOff>0</xdr:rowOff>
    </xdr:to>
    <xdr:sp macro="" textlink="">
      <xdr:nvSpPr>
        <xdr:cNvPr id="15" name="14 Rectángulo redondeado">
          <a:extLst>
            <a:ext uri="{FF2B5EF4-FFF2-40B4-BE49-F238E27FC236}">
              <a16:creationId xmlns="" xmlns:a16="http://schemas.microsoft.com/office/drawing/2014/main" id="{00000000-0008-0000-0000-00000F000000}"/>
            </a:ext>
          </a:extLst>
        </xdr:cNvPr>
        <xdr:cNvSpPr/>
      </xdr:nvSpPr>
      <xdr:spPr>
        <a:xfrm>
          <a:off x="152400" y="5453269"/>
          <a:ext cx="5314122" cy="1252331"/>
        </a:xfrm>
        <a:prstGeom prst="roundRect">
          <a:avLst>
            <a:gd name="adj" fmla="val 2488"/>
          </a:avLst>
        </a:prstGeom>
        <a:noFill/>
        <a:ln>
          <a:solidFill>
            <a:schemeClr val="tx2"/>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46</xdr:row>
      <xdr:rowOff>0</xdr:rowOff>
    </xdr:from>
    <xdr:to>
      <xdr:col>4</xdr:col>
      <xdr:colOff>0</xdr:colOff>
      <xdr:row>53</xdr:row>
      <xdr:rowOff>0</xdr:rowOff>
    </xdr:to>
    <xdr:sp macro="" textlink="">
      <xdr:nvSpPr>
        <xdr:cNvPr id="16" name="15 Rectángulo redondeado">
          <a:extLst>
            <a:ext uri="{FF2B5EF4-FFF2-40B4-BE49-F238E27FC236}">
              <a16:creationId xmlns="" xmlns:a16="http://schemas.microsoft.com/office/drawing/2014/main" id="{00000000-0008-0000-0000-000010000000}"/>
            </a:ext>
          </a:extLst>
        </xdr:cNvPr>
        <xdr:cNvSpPr/>
      </xdr:nvSpPr>
      <xdr:spPr>
        <a:xfrm>
          <a:off x="152400" y="5453270"/>
          <a:ext cx="5300870" cy="125233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57150</xdr:colOff>
          <xdr:row>10</xdr:row>
          <xdr:rowOff>19050</xdr:rowOff>
        </xdr:from>
        <xdr:to>
          <xdr:col>9</xdr:col>
          <xdr:colOff>76200</xdr:colOff>
          <xdr:row>11</xdr:row>
          <xdr:rowOff>114300</xdr:rowOff>
        </xdr:to>
        <xdr:sp macro="" textlink="">
          <xdr:nvSpPr>
            <xdr:cNvPr id="1026" name="Option Button 2" hidden="1">
              <a:extLst>
                <a:ext uri="{63B3BB69-23CF-44E3-9099-C40C66FF867C}">
                  <a14:compatExt spid="_x0000_s1026"/>
                </a:ext>
                <a:ext uri="{FF2B5EF4-FFF2-40B4-BE49-F238E27FC236}">
                  <a16:creationId xmlns=""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cs typeface="Tahoma"/>
                </a:rPr>
                <a:t>= o &gt; a 92.000 UVT's ($3.152'840.000) o Art 477 y 481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11</xdr:row>
          <xdr:rowOff>38100</xdr:rowOff>
        </xdr:from>
        <xdr:to>
          <xdr:col>5</xdr:col>
          <xdr:colOff>114300</xdr:colOff>
          <xdr:row>13</xdr:row>
          <xdr:rowOff>28575</xdr:rowOff>
        </xdr:to>
        <xdr:sp macro="" textlink="">
          <xdr:nvSpPr>
            <xdr:cNvPr id="1027" name="Option Button 3" hidden="1">
              <a:extLst>
                <a:ext uri="{63B3BB69-23CF-44E3-9099-C40C66FF867C}">
                  <a14:compatExt spid="_x0000_s1027"/>
                </a:ext>
                <a:ext uri="{FF2B5EF4-FFF2-40B4-BE49-F238E27FC236}">
                  <a16:creationId xmlns=""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cs typeface="Tahoma"/>
                </a:rPr>
                <a:t>Inferior a 92.000 UVT's</a:t>
              </a:r>
            </a:p>
          </xdr:txBody>
        </xdr:sp>
        <xdr:clientData/>
      </xdr:twoCellAnchor>
    </mc:Choice>
    <mc:Fallback/>
  </mc:AlternateContent>
  <xdr:twoCellAnchor>
    <xdr:from>
      <xdr:col>4</xdr:col>
      <xdr:colOff>53740</xdr:colOff>
      <xdr:row>45</xdr:row>
      <xdr:rowOff>44729</xdr:rowOff>
    </xdr:from>
    <xdr:to>
      <xdr:col>9</xdr:col>
      <xdr:colOff>66261</xdr:colOff>
      <xdr:row>47</xdr:row>
      <xdr:rowOff>32714</xdr:rowOff>
    </xdr:to>
    <xdr:sp macro="" textlink="">
      <xdr:nvSpPr>
        <xdr:cNvPr id="19" name="10 Pentágono">
          <a:extLst>
            <a:ext uri="{FF2B5EF4-FFF2-40B4-BE49-F238E27FC236}">
              <a16:creationId xmlns="" xmlns:a16="http://schemas.microsoft.com/office/drawing/2014/main" id="{00000000-0008-0000-0000-000013000000}"/>
            </a:ext>
          </a:extLst>
        </xdr:cNvPr>
        <xdr:cNvSpPr/>
      </xdr:nvSpPr>
      <xdr:spPr>
        <a:xfrm flipH="1">
          <a:off x="5826718" y="7176055"/>
          <a:ext cx="526043" cy="294442"/>
        </a:xfrm>
        <a:prstGeom prst="homePlate">
          <a:avLst/>
        </a:prstGeom>
      </xdr:spPr>
      <xdr:style>
        <a:lnRef idx="1">
          <a:schemeClr val="accent3"/>
        </a:lnRef>
        <a:fillRef idx="2">
          <a:schemeClr val="accent3"/>
        </a:fillRef>
        <a:effectRef idx="1">
          <a:schemeClr val="accent3"/>
        </a:effectRef>
        <a:fontRef idx="minor">
          <a:schemeClr val="dk1"/>
        </a:fontRef>
      </xdr:style>
      <xdr:txBody>
        <a:bodyPr vertOverflow="clip" lIns="0" tIns="0" rIns="0" bIns="0" rtlCol="0" anchor="ctr"/>
        <a:lstStyle/>
        <a:p>
          <a:pPr algn="ctr"/>
          <a:r>
            <a:rPr lang="es-CO" sz="700" baseline="0"/>
            <a:t>Seleccione régimen</a:t>
          </a:r>
        </a:p>
      </xdr:txBody>
    </xdr:sp>
    <xdr:clientData/>
  </xdr:twoCellAnchor>
  <xdr:twoCellAnchor editAs="oneCell">
    <xdr:from>
      <xdr:col>1</xdr:col>
      <xdr:colOff>2586195</xdr:colOff>
      <xdr:row>75</xdr:row>
      <xdr:rowOff>41412</xdr:rowOff>
    </xdr:from>
    <xdr:to>
      <xdr:col>1</xdr:col>
      <xdr:colOff>3048000</xdr:colOff>
      <xdr:row>78</xdr:row>
      <xdr:rowOff>132521</xdr:rowOff>
    </xdr:to>
    <xdr:pic>
      <xdr:nvPicPr>
        <xdr:cNvPr id="20" name="19 Imagen">
          <a:extLst>
            <a:ext uri="{FF2B5EF4-FFF2-40B4-BE49-F238E27FC236}">
              <a16:creationId xmlns=""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6999" y="9765195"/>
          <a:ext cx="461805" cy="447261"/>
        </a:xfrm>
        <a:prstGeom prst="roundRect">
          <a:avLst>
            <a:gd name="adj" fmla="val 0"/>
          </a:avLst>
        </a:prstGeom>
        <a:solidFill>
          <a:srgbClr val="FFFFFF"/>
        </a:solidFill>
        <a:ln w="28575"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a:extLst/>
      </xdr:spPr>
    </xdr:pic>
    <xdr:clientData/>
  </xdr:twoCellAnchor>
  <xdr:twoCellAnchor>
    <xdr:from>
      <xdr:col>1</xdr:col>
      <xdr:colOff>2870021</xdr:colOff>
      <xdr:row>8</xdr:row>
      <xdr:rowOff>24847</xdr:rowOff>
    </xdr:from>
    <xdr:to>
      <xdr:col>2</xdr:col>
      <xdr:colOff>82826</xdr:colOff>
      <xdr:row>10</xdr:row>
      <xdr:rowOff>54245</xdr:rowOff>
    </xdr:to>
    <xdr:sp macro="" textlink="">
      <xdr:nvSpPr>
        <xdr:cNvPr id="17" name="10 Pentágono">
          <a:extLst>
            <a:ext uri="{FF2B5EF4-FFF2-40B4-BE49-F238E27FC236}">
              <a16:creationId xmlns="" xmlns:a16="http://schemas.microsoft.com/office/drawing/2014/main" id="{00000000-0008-0000-0000-000011000000}"/>
            </a:ext>
          </a:extLst>
        </xdr:cNvPr>
        <xdr:cNvSpPr/>
      </xdr:nvSpPr>
      <xdr:spPr>
        <a:xfrm>
          <a:off x="3010825" y="1142999"/>
          <a:ext cx="600392" cy="294442"/>
        </a:xfrm>
        <a:prstGeom prst="homePlate">
          <a:avLst/>
        </a:prstGeom>
      </xdr:spPr>
      <xdr:style>
        <a:lnRef idx="0">
          <a:schemeClr val="accent5"/>
        </a:lnRef>
        <a:fillRef idx="3">
          <a:schemeClr val="accent5"/>
        </a:fillRef>
        <a:effectRef idx="3">
          <a:schemeClr val="accent5"/>
        </a:effectRef>
        <a:fontRef idx="minor">
          <a:schemeClr val="lt1"/>
        </a:fontRef>
      </xdr:style>
      <xdr:txBody>
        <a:bodyPr vertOverflow="clip" lIns="0" tIns="0" rIns="0" bIns="0" rtlCol="0" anchor="ctr"/>
        <a:lstStyle/>
        <a:p>
          <a:pPr algn="ctr"/>
          <a:r>
            <a:rPr lang="es-CO" sz="700" b="1" baseline="0"/>
            <a:t>Elija tipo de contrib</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85725</xdr:colOff>
      <xdr:row>16</xdr:row>
      <xdr:rowOff>9525</xdr:rowOff>
    </xdr:from>
    <xdr:to>
      <xdr:col>8</xdr:col>
      <xdr:colOff>276225</xdr:colOff>
      <xdr:row>16</xdr:row>
      <xdr:rowOff>219075</xdr:rowOff>
    </xdr:to>
    <xdr:sp macro="" textlink="">
      <xdr:nvSpPr>
        <xdr:cNvPr id="2" name="1 Flecha arriba">
          <a:hlinkClick xmlns:r="http://schemas.openxmlformats.org/officeDocument/2006/relationships" r:id="rId1"/>
          <a:extLst>
            <a:ext uri="{FF2B5EF4-FFF2-40B4-BE49-F238E27FC236}">
              <a16:creationId xmlns="" xmlns:a16="http://schemas.microsoft.com/office/drawing/2014/main" id="{00000000-0008-0000-0400-000002000000}"/>
            </a:ext>
          </a:extLst>
        </xdr:cNvPr>
        <xdr:cNvSpPr/>
      </xdr:nvSpPr>
      <xdr:spPr>
        <a:xfrm>
          <a:off x="8582025" y="3695700"/>
          <a:ext cx="190500" cy="2095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0</xdr:colOff>
      <xdr:row>60</xdr:row>
      <xdr:rowOff>0</xdr:rowOff>
    </xdr:from>
    <xdr:to>
      <xdr:col>8</xdr:col>
      <xdr:colOff>190500</xdr:colOff>
      <xdr:row>60</xdr:row>
      <xdr:rowOff>209550</xdr:rowOff>
    </xdr:to>
    <xdr:sp macro="" textlink="">
      <xdr:nvSpPr>
        <xdr:cNvPr id="8" name="7 Flecha arriba">
          <a:hlinkClick xmlns:r="http://schemas.openxmlformats.org/officeDocument/2006/relationships" r:id="rId1"/>
          <a:extLst>
            <a:ext uri="{FF2B5EF4-FFF2-40B4-BE49-F238E27FC236}">
              <a16:creationId xmlns="" xmlns:a16="http://schemas.microsoft.com/office/drawing/2014/main" id="{00000000-0008-0000-0400-000008000000}"/>
            </a:ext>
          </a:extLst>
        </xdr:cNvPr>
        <xdr:cNvSpPr/>
      </xdr:nvSpPr>
      <xdr:spPr>
        <a:xfrm>
          <a:off x="8496300" y="13877925"/>
          <a:ext cx="190500" cy="2095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85725</xdr:colOff>
      <xdr:row>101</xdr:row>
      <xdr:rowOff>171450</xdr:rowOff>
    </xdr:from>
    <xdr:to>
      <xdr:col>8</xdr:col>
      <xdr:colOff>276225</xdr:colOff>
      <xdr:row>102</xdr:row>
      <xdr:rowOff>190500</xdr:rowOff>
    </xdr:to>
    <xdr:sp macro="" textlink="">
      <xdr:nvSpPr>
        <xdr:cNvPr id="9" name="8 Flecha arriba">
          <a:hlinkClick xmlns:r="http://schemas.openxmlformats.org/officeDocument/2006/relationships" r:id="rId1"/>
          <a:extLst>
            <a:ext uri="{FF2B5EF4-FFF2-40B4-BE49-F238E27FC236}">
              <a16:creationId xmlns="" xmlns:a16="http://schemas.microsoft.com/office/drawing/2014/main" id="{00000000-0008-0000-0400-000009000000}"/>
            </a:ext>
          </a:extLst>
        </xdr:cNvPr>
        <xdr:cNvSpPr/>
      </xdr:nvSpPr>
      <xdr:spPr>
        <a:xfrm>
          <a:off x="8582025" y="23307675"/>
          <a:ext cx="190500" cy="2095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1181100</xdr:colOff>
      <xdr:row>190</xdr:row>
      <xdr:rowOff>190500</xdr:rowOff>
    </xdr:from>
    <xdr:to>
      <xdr:col>9</xdr:col>
      <xdr:colOff>123825</xdr:colOff>
      <xdr:row>190</xdr:row>
      <xdr:rowOff>400050</xdr:rowOff>
    </xdr:to>
    <xdr:sp macro="" textlink="">
      <xdr:nvSpPr>
        <xdr:cNvPr id="10" name="9 Flecha arriba">
          <a:hlinkClick xmlns:r="http://schemas.openxmlformats.org/officeDocument/2006/relationships" r:id="rId1"/>
          <a:extLst>
            <a:ext uri="{FF2B5EF4-FFF2-40B4-BE49-F238E27FC236}">
              <a16:creationId xmlns="" xmlns:a16="http://schemas.microsoft.com/office/drawing/2014/main" id="{00000000-0008-0000-0400-00000A000000}"/>
            </a:ext>
          </a:extLst>
        </xdr:cNvPr>
        <xdr:cNvSpPr/>
      </xdr:nvSpPr>
      <xdr:spPr>
        <a:xfrm>
          <a:off x="9677400" y="42205275"/>
          <a:ext cx="190500" cy="2095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0</xdr:colOff>
      <xdr:row>218</xdr:row>
      <xdr:rowOff>0</xdr:rowOff>
    </xdr:from>
    <xdr:to>
      <xdr:col>9</xdr:col>
      <xdr:colOff>190500</xdr:colOff>
      <xdr:row>218</xdr:row>
      <xdr:rowOff>209550</xdr:rowOff>
    </xdr:to>
    <xdr:sp macro="" textlink="">
      <xdr:nvSpPr>
        <xdr:cNvPr id="11" name="10 Flecha arriba">
          <a:hlinkClick xmlns:r="http://schemas.openxmlformats.org/officeDocument/2006/relationships" r:id="rId1"/>
          <a:extLst>
            <a:ext uri="{FF2B5EF4-FFF2-40B4-BE49-F238E27FC236}">
              <a16:creationId xmlns="" xmlns:a16="http://schemas.microsoft.com/office/drawing/2014/main" id="{00000000-0008-0000-0400-00000B000000}"/>
            </a:ext>
          </a:extLst>
        </xdr:cNvPr>
        <xdr:cNvSpPr/>
      </xdr:nvSpPr>
      <xdr:spPr>
        <a:xfrm>
          <a:off x="9744075" y="49015650"/>
          <a:ext cx="190500" cy="2095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0</xdr:colOff>
      <xdr:row>308</xdr:row>
      <xdr:rowOff>0</xdr:rowOff>
    </xdr:from>
    <xdr:to>
      <xdr:col>8</xdr:col>
      <xdr:colOff>190500</xdr:colOff>
      <xdr:row>308</xdr:row>
      <xdr:rowOff>209550</xdr:rowOff>
    </xdr:to>
    <xdr:sp macro="" textlink="">
      <xdr:nvSpPr>
        <xdr:cNvPr id="12" name="11 Flecha arriba">
          <a:hlinkClick xmlns:r="http://schemas.openxmlformats.org/officeDocument/2006/relationships" r:id="rId1"/>
          <a:extLst>
            <a:ext uri="{FF2B5EF4-FFF2-40B4-BE49-F238E27FC236}">
              <a16:creationId xmlns="" xmlns:a16="http://schemas.microsoft.com/office/drawing/2014/main" id="{00000000-0008-0000-0400-00000C000000}"/>
            </a:ext>
          </a:extLst>
        </xdr:cNvPr>
        <xdr:cNvSpPr/>
      </xdr:nvSpPr>
      <xdr:spPr>
        <a:xfrm>
          <a:off x="8496300" y="66922650"/>
          <a:ext cx="190500" cy="2095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0</xdr:colOff>
      <xdr:row>326</xdr:row>
      <xdr:rowOff>0</xdr:rowOff>
    </xdr:from>
    <xdr:to>
      <xdr:col>8</xdr:col>
      <xdr:colOff>190500</xdr:colOff>
      <xdr:row>326</xdr:row>
      <xdr:rowOff>209550</xdr:rowOff>
    </xdr:to>
    <xdr:sp macro="" textlink="">
      <xdr:nvSpPr>
        <xdr:cNvPr id="13" name="12 Flecha arriba">
          <a:hlinkClick xmlns:r="http://schemas.openxmlformats.org/officeDocument/2006/relationships" r:id="rId1"/>
          <a:extLst>
            <a:ext uri="{FF2B5EF4-FFF2-40B4-BE49-F238E27FC236}">
              <a16:creationId xmlns="" xmlns:a16="http://schemas.microsoft.com/office/drawing/2014/main" id="{00000000-0008-0000-0400-00000D000000}"/>
            </a:ext>
          </a:extLst>
        </xdr:cNvPr>
        <xdr:cNvSpPr/>
      </xdr:nvSpPr>
      <xdr:spPr>
        <a:xfrm>
          <a:off x="8496300" y="71989950"/>
          <a:ext cx="190500" cy="2095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0</xdr:colOff>
      <xdr:row>345</xdr:row>
      <xdr:rowOff>0</xdr:rowOff>
    </xdr:from>
    <xdr:to>
      <xdr:col>8</xdr:col>
      <xdr:colOff>190500</xdr:colOff>
      <xdr:row>345</xdr:row>
      <xdr:rowOff>209550</xdr:rowOff>
    </xdr:to>
    <xdr:sp macro="" textlink="">
      <xdr:nvSpPr>
        <xdr:cNvPr id="14" name="13 Flecha arriba">
          <a:hlinkClick xmlns:r="http://schemas.openxmlformats.org/officeDocument/2006/relationships" r:id="rId1"/>
          <a:extLst>
            <a:ext uri="{FF2B5EF4-FFF2-40B4-BE49-F238E27FC236}">
              <a16:creationId xmlns="" xmlns:a16="http://schemas.microsoft.com/office/drawing/2014/main" id="{00000000-0008-0000-0400-00000E000000}"/>
            </a:ext>
          </a:extLst>
        </xdr:cNvPr>
        <xdr:cNvSpPr/>
      </xdr:nvSpPr>
      <xdr:spPr>
        <a:xfrm>
          <a:off x="8496300" y="76209525"/>
          <a:ext cx="190500" cy="2095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0</xdr:colOff>
      <xdr:row>355</xdr:row>
      <xdr:rowOff>0</xdr:rowOff>
    </xdr:from>
    <xdr:to>
      <xdr:col>8</xdr:col>
      <xdr:colOff>190500</xdr:colOff>
      <xdr:row>355</xdr:row>
      <xdr:rowOff>209550</xdr:rowOff>
    </xdr:to>
    <xdr:sp macro="" textlink="">
      <xdr:nvSpPr>
        <xdr:cNvPr id="15" name="14 Flecha arriba">
          <a:hlinkClick xmlns:r="http://schemas.openxmlformats.org/officeDocument/2006/relationships" r:id="rId1"/>
          <a:extLst>
            <a:ext uri="{FF2B5EF4-FFF2-40B4-BE49-F238E27FC236}">
              <a16:creationId xmlns="" xmlns:a16="http://schemas.microsoft.com/office/drawing/2014/main" id="{00000000-0008-0000-0400-00000F000000}"/>
            </a:ext>
          </a:extLst>
        </xdr:cNvPr>
        <xdr:cNvSpPr/>
      </xdr:nvSpPr>
      <xdr:spPr>
        <a:xfrm>
          <a:off x="8496300" y="79733775"/>
          <a:ext cx="190500" cy="2095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0</xdr:colOff>
      <xdr:row>369</xdr:row>
      <xdr:rowOff>0</xdr:rowOff>
    </xdr:from>
    <xdr:to>
      <xdr:col>8</xdr:col>
      <xdr:colOff>190500</xdr:colOff>
      <xdr:row>369</xdr:row>
      <xdr:rowOff>209550</xdr:rowOff>
    </xdr:to>
    <xdr:sp macro="" textlink="">
      <xdr:nvSpPr>
        <xdr:cNvPr id="16" name="15 Flecha arriba">
          <a:hlinkClick xmlns:r="http://schemas.openxmlformats.org/officeDocument/2006/relationships" r:id="rId1"/>
          <a:extLst>
            <a:ext uri="{FF2B5EF4-FFF2-40B4-BE49-F238E27FC236}">
              <a16:creationId xmlns="" xmlns:a16="http://schemas.microsoft.com/office/drawing/2014/main" id="{00000000-0008-0000-0400-000010000000}"/>
            </a:ext>
          </a:extLst>
        </xdr:cNvPr>
        <xdr:cNvSpPr/>
      </xdr:nvSpPr>
      <xdr:spPr>
        <a:xfrm>
          <a:off x="8496300" y="85505925"/>
          <a:ext cx="190500" cy="2095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0</xdr:colOff>
      <xdr:row>397</xdr:row>
      <xdr:rowOff>0</xdr:rowOff>
    </xdr:from>
    <xdr:to>
      <xdr:col>15</xdr:col>
      <xdr:colOff>190500</xdr:colOff>
      <xdr:row>397</xdr:row>
      <xdr:rowOff>209550</xdr:rowOff>
    </xdr:to>
    <xdr:sp macro="" textlink="">
      <xdr:nvSpPr>
        <xdr:cNvPr id="17" name="16 Flecha arriba">
          <a:hlinkClick xmlns:r="http://schemas.openxmlformats.org/officeDocument/2006/relationships" r:id="rId1"/>
          <a:extLst>
            <a:ext uri="{FF2B5EF4-FFF2-40B4-BE49-F238E27FC236}">
              <a16:creationId xmlns="" xmlns:a16="http://schemas.microsoft.com/office/drawing/2014/main" id="{00000000-0008-0000-0400-000011000000}"/>
            </a:ext>
          </a:extLst>
        </xdr:cNvPr>
        <xdr:cNvSpPr/>
      </xdr:nvSpPr>
      <xdr:spPr>
        <a:xfrm>
          <a:off x="18468975" y="92973525"/>
          <a:ext cx="190500" cy="2095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0</xdr:colOff>
      <xdr:row>413</xdr:row>
      <xdr:rowOff>0</xdr:rowOff>
    </xdr:from>
    <xdr:to>
      <xdr:col>8</xdr:col>
      <xdr:colOff>190500</xdr:colOff>
      <xdr:row>413</xdr:row>
      <xdr:rowOff>209550</xdr:rowOff>
    </xdr:to>
    <xdr:sp macro="" textlink="">
      <xdr:nvSpPr>
        <xdr:cNvPr id="18" name="17 Flecha arriba">
          <a:hlinkClick xmlns:r="http://schemas.openxmlformats.org/officeDocument/2006/relationships" r:id="rId1"/>
          <a:extLst>
            <a:ext uri="{FF2B5EF4-FFF2-40B4-BE49-F238E27FC236}">
              <a16:creationId xmlns="" xmlns:a16="http://schemas.microsoft.com/office/drawing/2014/main" id="{00000000-0008-0000-0400-000012000000}"/>
            </a:ext>
          </a:extLst>
        </xdr:cNvPr>
        <xdr:cNvSpPr/>
      </xdr:nvSpPr>
      <xdr:spPr>
        <a:xfrm>
          <a:off x="8496300" y="97659825"/>
          <a:ext cx="190500" cy="2095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0</xdr:colOff>
      <xdr:row>442</xdr:row>
      <xdr:rowOff>0</xdr:rowOff>
    </xdr:from>
    <xdr:to>
      <xdr:col>8</xdr:col>
      <xdr:colOff>190500</xdr:colOff>
      <xdr:row>442</xdr:row>
      <xdr:rowOff>209550</xdr:rowOff>
    </xdr:to>
    <xdr:sp macro="" textlink="">
      <xdr:nvSpPr>
        <xdr:cNvPr id="19" name="18 Flecha arriba">
          <a:hlinkClick xmlns:r="http://schemas.openxmlformats.org/officeDocument/2006/relationships" r:id="rId1"/>
          <a:extLst>
            <a:ext uri="{FF2B5EF4-FFF2-40B4-BE49-F238E27FC236}">
              <a16:creationId xmlns="" xmlns:a16="http://schemas.microsoft.com/office/drawing/2014/main" id="{00000000-0008-0000-0400-000013000000}"/>
            </a:ext>
          </a:extLst>
        </xdr:cNvPr>
        <xdr:cNvSpPr/>
      </xdr:nvSpPr>
      <xdr:spPr>
        <a:xfrm>
          <a:off x="8496300" y="104336850"/>
          <a:ext cx="190500" cy="2095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367</xdr:row>
      <xdr:rowOff>1</xdr:rowOff>
    </xdr:from>
    <xdr:to>
      <xdr:col>9</xdr:col>
      <xdr:colOff>9524</xdr:colOff>
      <xdr:row>367</xdr:row>
      <xdr:rowOff>781051</xdr:rowOff>
    </xdr:to>
    <xdr:pic>
      <xdr:nvPicPr>
        <xdr:cNvPr id="3" name="2 Imagen">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84115276"/>
          <a:ext cx="9753599" cy="781050"/>
        </a:xfrm>
        <a:prstGeom prst="rect">
          <a:avLst/>
        </a:prstGeom>
      </xdr:spPr>
    </xdr:pic>
    <xdr:clientData/>
  </xdr:twoCellAnchor>
  <xdr:twoCellAnchor>
    <xdr:from>
      <xdr:col>6</xdr:col>
      <xdr:colOff>904875</xdr:colOff>
      <xdr:row>161</xdr:row>
      <xdr:rowOff>171450</xdr:rowOff>
    </xdr:from>
    <xdr:to>
      <xdr:col>6</xdr:col>
      <xdr:colOff>1095375</xdr:colOff>
      <xdr:row>163</xdr:row>
      <xdr:rowOff>0</xdr:rowOff>
    </xdr:to>
    <xdr:sp macro="" textlink="">
      <xdr:nvSpPr>
        <xdr:cNvPr id="20" name="19 Flecha arriba">
          <a:hlinkClick xmlns:r="http://schemas.openxmlformats.org/officeDocument/2006/relationships" r:id="rId1"/>
          <a:extLst>
            <a:ext uri="{FF2B5EF4-FFF2-40B4-BE49-F238E27FC236}">
              <a16:creationId xmlns="" xmlns:a16="http://schemas.microsoft.com/office/drawing/2014/main" id="{00000000-0008-0000-0400-000014000000}"/>
            </a:ext>
          </a:extLst>
        </xdr:cNvPr>
        <xdr:cNvSpPr/>
      </xdr:nvSpPr>
      <xdr:spPr>
        <a:xfrm>
          <a:off x="6257925" y="35947350"/>
          <a:ext cx="190500" cy="2095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819150</xdr:colOff>
      <xdr:row>21</xdr:row>
      <xdr:rowOff>160592</xdr:rowOff>
    </xdr:from>
    <xdr:to>
      <xdr:col>6</xdr:col>
      <xdr:colOff>1524000</xdr:colOff>
      <xdr:row>24</xdr:row>
      <xdr:rowOff>120508</xdr:rowOff>
    </xdr:to>
    <xdr:pic>
      <xdr:nvPicPr>
        <xdr:cNvPr id="3" name="2 Imagen">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01275" y="4113467"/>
          <a:ext cx="704850" cy="455216"/>
        </a:xfrm>
        <a:prstGeom prst="rect">
          <a:avLst/>
        </a:prstGeom>
      </xdr:spPr>
    </xdr:pic>
    <xdr:clientData/>
  </xdr:twoCellAnchor>
  <xdr:twoCellAnchor>
    <xdr:from>
      <xdr:col>4</xdr:col>
      <xdr:colOff>428625</xdr:colOff>
      <xdr:row>21</xdr:row>
      <xdr:rowOff>95250</xdr:rowOff>
    </xdr:from>
    <xdr:to>
      <xdr:col>7</xdr:col>
      <xdr:colOff>10504</xdr:colOff>
      <xdr:row>25</xdr:row>
      <xdr:rowOff>25003</xdr:rowOff>
    </xdr:to>
    <xdr:sp macro="" textlink="">
      <xdr:nvSpPr>
        <xdr:cNvPr id="4" name="8 Rectángulo">
          <a:extLst>
            <a:ext uri="{FF2B5EF4-FFF2-40B4-BE49-F238E27FC236}">
              <a16:creationId xmlns="" xmlns:a16="http://schemas.microsoft.com/office/drawing/2014/main" id="{00000000-0008-0000-0100-000004000000}"/>
            </a:ext>
          </a:extLst>
        </xdr:cNvPr>
        <xdr:cNvSpPr/>
      </xdr:nvSpPr>
      <xdr:spPr>
        <a:xfrm>
          <a:off x="5972175" y="4048125"/>
          <a:ext cx="4915879" cy="577453"/>
        </a:xfrm>
        <a:prstGeom prst="rect">
          <a:avLst/>
        </a:prstGeom>
        <a:noFill/>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8282</xdr:colOff>
      <xdr:row>7</xdr:row>
      <xdr:rowOff>16565</xdr:rowOff>
    </xdr:from>
    <xdr:to>
      <xdr:col>6</xdr:col>
      <xdr:colOff>0</xdr:colOff>
      <xdr:row>43</xdr:row>
      <xdr:rowOff>16565</xdr:rowOff>
    </xdr:to>
    <xdr:sp macro="" textlink="">
      <xdr:nvSpPr>
        <xdr:cNvPr id="2" name="1 Rectángulo redondeado">
          <a:extLst>
            <a:ext uri="{FF2B5EF4-FFF2-40B4-BE49-F238E27FC236}">
              <a16:creationId xmlns="" xmlns:a16="http://schemas.microsoft.com/office/drawing/2014/main" id="{00000000-0008-0000-0200-000002000000}"/>
            </a:ext>
          </a:extLst>
        </xdr:cNvPr>
        <xdr:cNvSpPr/>
      </xdr:nvSpPr>
      <xdr:spPr>
        <a:xfrm>
          <a:off x="770282" y="1350065"/>
          <a:ext cx="6783043" cy="685800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55</xdr:row>
      <xdr:rowOff>0</xdr:rowOff>
    </xdr:from>
    <xdr:to>
      <xdr:col>6</xdr:col>
      <xdr:colOff>0</xdr:colOff>
      <xdr:row>92</xdr:row>
      <xdr:rowOff>0</xdr:rowOff>
    </xdr:to>
    <xdr:sp macro="" textlink="">
      <xdr:nvSpPr>
        <xdr:cNvPr id="3" name="2 Rectángulo redondeado">
          <a:extLst>
            <a:ext uri="{FF2B5EF4-FFF2-40B4-BE49-F238E27FC236}">
              <a16:creationId xmlns="" xmlns:a16="http://schemas.microsoft.com/office/drawing/2014/main" id="{00000000-0008-0000-0200-000003000000}"/>
            </a:ext>
          </a:extLst>
        </xdr:cNvPr>
        <xdr:cNvSpPr/>
      </xdr:nvSpPr>
      <xdr:spPr>
        <a:xfrm>
          <a:off x="762000" y="10477500"/>
          <a:ext cx="6791325" cy="704850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116</xdr:row>
      <xdr:rowOff>0</xdr:rowOff>
    </xdr:from>
    <xdr:to>
      <xdr:col>6</xdr:col>
      <xdr:colOff>0</xdr:colOff>
      <xdr:row>119</xdr:row>
      <xdr:rowOff>0</xdr:rowOff>
    </xdr:to>
    <xdr:sp macro="" textlink="">
      <xdr:nvSpPr>
        <xdr:cNvPr id="4" name="3 Rectángulo redondeado">
          <a:extLst>
            <a:ext uri="{FF2B5EF4-FFF2-40B4-BE49-F238E27FC236}">
              <a16:creationId xmlns="" xmlns:a16="http://schemas.microsoft.com/office/drawing/2014/main" id="{00000000-0008-0000-0200-000004000000}"/>
            </a:ext>
          </a:extLst>
        </xdr:cNvPr>
        <xdr:cNvSpPr/>
      </xdr:nvSpPr>
      <xdr:spPr>
        <a:xfrm>
          <a:off x="762000" y="22098000"/>
          <a:ext cx="6791325" cy="57150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120</xdr:row>
      <xdr:rowOff>0</xdr:rowOff>
    </xdr:from>
    <xdr:to>
      <xdr:col>6</xdr:col>
      <xdr:colOff>0</xdr:colOff>
      <xdr:row>124</xdr:row>
      <xdr:rowOff>0</xdr:rowOff>
    </xdr:to>
    <xdr:sp macro="" textlink="">
      <xdr:nvSpPr>
        <xdr:cNvPr id="5" name="4 Rectángulo redondeado">
          <a:extLst>
            <a:ext uri="{FF2B5EF4-FFF2-40B4-BE49-F238E27FC236}">
              <a16:creationId xmlns="" xmlns:a16="http://schemas.microsoft.com/office/drawing/2014/main" id="{00000000-0008-0000-0200-000005000000}"/>
            </a:ext>
          </a:extLst>
        </xdr:cNvPr>
        <xdr:cNvSpPr/>
      </xdr:nvSpPr>
      <xdr:spPr>
        <a:xfrm>
          <a:off x="762000" y="22860000"/>
          <a:ext cx="6791325" cy="76200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125</xdr:row>
      <xdr:rowOff>0</xdr:rowOff>
    </xdr:from>
    <xdr:to>
      <xdr:col>6</xdr:col>
      <xdr:colOff>0</xdr:colOff>
      <xdr:row>127</xdr:row>
      <xdr:rowOff>0</xdr:rowOff>
    </xdr:to>
    <xdr:sp macro="" textlink="">
      <xdr:nvSpPr>
        <xdr:cNvPr id="6" name="5 Rectángulo redondeado">
          <a:extLst>
            <a:ext uri="{FF2B5EF4-FFF2-40B4-BE49-F238E27FC236}">
              <a16:creationId xmlns="" xmlns:a16="http://schemas.microsoft.com/office/drawing/2014/main" id="{00000000-0008-0000-0200-000006000000}"/>
            </a:ext>
          </a:extLst>
        </xdr:cNvPr>
        <xdr:cNvSpPr/>
      </xdr:nvSpPr>
      <xdr:spPr>
        <a:xfrm>
          <a:off x="762000" y="23812500"/>
          <a:ext cx="6791325" cy="38100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93</xdr:row>
      <xdr:rowOff>0</xdr:rowOff>
    </xdr:from>
    <xdr:to>
      <xdr:col>6</xdr:col>
      <xdr:colOff>0</xdr:colOff>
      <xdr:row>102</xdr:row>
      <xdr:rowOff>184548</xdr:rowOff>
    </xdr:to>
    <xdr:sp macro="" textlink="">
      <xdr:nvSpPr>
        <xdr:cNvPr id="7" name="9 Rectángulo redondeado">
          <a:extLst>
            <a:ext uri="{FF2B5EF4-FFF2-40B4-BE49-F238E27FC236}">
              <a16:creationId xmlns="" xmlns:a16="http://schemas.microsoft.com/office/drawing/2014/main" id="{00000000-0008-0000-0200-000007000000}"/>
            </a:ext>
          </a:extLst>
        </xdr:cNvPr>
        <xdr:cNvSpPr/>
      </xdr:nvSpPr>
      <xdr:spPr>
        <a:xfrm>
          <a:off x="762000" y="17716500"/>
          <a:ext cx="6791325" cy="1899048"/>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103</xdr:row>
      <xdr:rowOff>190499</xdr:rowOff>
    </xdr:from>
    <xdr:to>
      <xdr:col>6</xdr:col>
      <xdr:colOff>0</xdr:colOff>
      <xdr:row>115</xdr:row>
      <xdr:rowOff>7326</xdr:rowOff>
    </xdr:to>
    <xdr:sp macro="" textlink="">
      <xdr:nvSpPr>
        <xdr:cNvPr id="8" name="11 Rectángulo redondeado">
          <a:extLst>
            <a:ext uri="{FF2B5EF4-FFF2-40B4-BE49-F238E27FC236}">
              <a16:creationId xmlns="" xmlns:a16="http://schemas.microsoft.com/office/drawing/2014/main" id="{00000000-0008-0000-0200-000008000000}"/>
            </a:ext>
          </a:extLst>
        </xdr:cNvPr>
        <xdr:cNvSpPr/>
      </xdr:nvSpPr>
      <xdr:spPr>
        <a:xfrm>
          <a:off x="762000" y="19811999"/>
          <a:ext cx="6791325" cy="2102827"/>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9525</xdr:colOff>
      <xdr:row>44</xdr:row>
      <xdr:rowOff>9525</xdr:rowOff>
    </xdr:from>
    <xdr:to>
      <xdr:col>6</xdr:col>
      <xdr:colOff>0</xdr:colOff>
      <xdr:row>54</xdr:row>
      <xdr:rowOff>9525</xdr:rowOff>
    </xdr:to>
    <xdr:sp macro="" textlink="">
      <xdr:nvSpPr>
        <xdr:cNvPr id="9" name="3 Rectángulo redondeado">
          <a:extLst>
            <a:ext uri="{FF2B5EF4-FFF2-40B4-BE49-F238E27FC236}">
              <a16:creationId xmlns="" xmlns:a16="http://schemas.microsoft.com/office/drawing/2014/main" id="{00000000-0008-0000-0200-000009000000}"/>
            </a:ext>
          </a:extLst>
        </xdr:cNvPr>
        <xdr:cNvSpPr/>
      </xdr:nvSpPr>
      <xdr:spPr>
        <a:xfrm>
          <a:off x="771525" y="8391525"/>
          <a:ext cx="6781800" cy="190500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oneCellAnchor>
    <xdr:from>
      <xdr:col>0</xdr:col>
      <xdr:colOff>6595</xdr:colOff>
      <xdr:row>7</xdr:row>
      <xdr:rowOff>143609</xdr:rowOff>
    </xdr:from>
    <xdr:ext cx="579559" cy="235204"/>
    <xdr:pic>
      <xdr:nvPicPr>
        <xdr:cNvPr id="10" name="Picture 4" descr="Resultado de imagen para logo dian">
          <a:extLst>
            <a:ext uri="{FF2B5EF4-FFF2-40B4-BE49-F238E27FC236}">
              <a16:creationId xmlns=""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95" y="1477109"/>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21</xdr:row>
      <xdr:rowOff>131884</xdr:rowOff>
    </xdr:from>
    <xdr:ext cx="579559" cy="235204"/>
    <xdr:pic>
      <xdr:nvPicPr>
        <xdr:cNvPr id="11" name="Picture 4" descr="Resultado de imagen para logo dian">
          <a:extLst>
            <a:ext uri="{FF2B5EF4-FFF2-40B4-BE49-F238E27FC236}">
              <a16:creationId xmlns=""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132384"/>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5953</xdr:colOff>
      <xdr:row>69</xdr:row>
      <xdr:rowOff>0</xdr:rowOff>
    </xdr:from>
    <xdr:ext cx="579559" cy="235204"/>
    <xdr:pic>
      <xdr:nvPicPr>
        <xdr:cNvPr id="12" name="Picture 4" descr="Resultado de imagen para logo dian">
          <a:extLst>
            <a:ext uri="{FF2B5EF4-FFF2-40B4-BE49-F238E27FC236}">
              <a16:creationId xmlns=""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53" y="131445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90</xdr:row>
      <xdr:rowOff>14654</xdr:rowOff>
    </xdr:from>
    <xdr:ext cx="718038" cy="187314"/>
    <xdr:pic>
      <xdr:nvPicPr>
        <xdr:cNvPr id="13" name="Imagen 15">
          <a:extLst>
            <a:ext uri="{FF2B5EF4-FFF2-40B4-BE49-F238E27FC236}">
              <a16:creationId xmlns=""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7159654"/>
          <a:ext cx="718038" cy="18731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91</xdr:row>
      <xdr:rowOff>29308</xdr:rowOff>
    </xdr:from>
    <xdr:ext cx="718038" cy="187314"/>
    <xdr:pic>
      <xdr:nvPicPr>
        <xdr:cNvPr id="14" name="Imagen 16">
          <a:extLst>
            <a:ext uri="{FF2B5EF4-FFF2-40B4-BE49-F238E27FC236}">
              <a16:creationId xmlns=""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7364808"/>
          <a:ext cx="718038" cy="18731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56</xdr:row>
      <xdr:rowOff>168520</xdr:rowOff>
    </xdr:from>
    <xdr:ext cx="579559" cy="235204"/>
    <xdr:pic>
      <xdr:nvPicPr>
        <xdr:cNvPr id="15" name="Picture 4" descr="Resultado de imagen para logo dian">
          <a:extLst>
            <a:ext uri="{FF2B5EF4-FFF2-40B4-BE49-F238E27FC236}">
              <a16:creationId xmlns=""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83652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55</xdr:row>
      <xdr:rowOff>153866</xdr:rowOff>
    </xdr:from>
    <xdr:ext cx="579559" cy="235204"/>
    <xdr:pic>
      <xdr:nvPicPr>
        <xdr:cNvPr id="16" name="Picture 4" descr="Resultado de imagen para logo dian">
          <a:extLst>
            <a:ext uri="{FF2B5EF4-FFF2-40B4-BE49-F238E27FC236}">
              <a16:creationId xmlns=""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631366"/>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44</xdr:row>
      <xdr:rowOff>168519</xdr:rowOff>
    </xdr:from>
    <xdr:ext cx="579559" cy="235204"/>
    <xdr:pic>
      <xdr:nvPicPr>
        <xdr:cNvPr id="17" name="Picture 4" descr="Resultado de imagen para logo dian">
          <a:extLst>
            <a:ext uri="{FF2B5EF4-FFF2-40B4-BE49-F238E27FC236}">
              <a16:creationId xmlns=""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50519"/>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36635</xdr:colOff>
      <xdr:row>78</xdr:row>
      <xdr:rowOff>14654</xdr:rowOff>
    </xdr:from>
    <xdr:ext cx="512883" cy="189218"/>
    <xdr:pic>
      <xdr:nvPicPr>
        <xdr:cNvPr id="18" name="Imagen 22">
          <a:extLst>
            <a:ext uri="{FF2B5EF4-FFF2-40B4-BE49-F238E27FC236}">
              <a16:creationId xmlns=""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635" y="14873654"/>
          <a:ext cx="512883"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101</xdr:row>
      <xdr:rowOff>0</xdr:rowOff>
    </xdr:from>
    <xdr:ext cx="579559" cy="235204"/>
    <xdr:pic>
      <xdr:nvPicPr>
        <xdr:cNvPr id="19" name="Picture 4" descr="Resultado de imagen para logo dian">
          <a:extLst>
            <a:ext uri="{FF2B5EF4-FFF2-40B4-BE49-F238E27FC236}">
              <a16:creationId xmlns=""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2405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96</xdr:row>
      <xdr:rowOff>152034</xdr:rowOff>
    </xdr:from>
    <xdr:ext cx="579559" cy="235204"/>
    <xdr:pic>
      <xdr:nvPicPr>
        <xdr:cNvPr id="20" name="Picture 4" descr="Resultado de imagen para logo dian">
          <a:extLst>
            <a:ext uri="{FF2B5EF4-FFF2-40B4-BE49-F238E27FC236}">
              <a16:creationId xmlns=""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8440034"/>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93</xdr:row>
      <xdr:rowOff>153866</xdr:rowOff>
    </xdr:from>
    <xdr:ext cx="579559" cy="235204"/>
    <xdr:pic>
      <xdr:nvPicPr>
        <xdr:cNvPr id="21" name="Picture 4" descr="Resultado de imagen para logo dian">
          <a:extLst>
            <a:ext uri="{FF2B5EF4-FFF2-40B4-BE49-F238E27FC236}">
              <a16:creationId xmlns=""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7870366"/>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43962</xdr:colOff>
      <xdr:row>105</xdr:row>
      <xdr:rowOff>14654</xdr:rowOff>
    </xdr:from>
    <xdr:ext cx="512883" cy="189218"/>
    <xdr:pic>
      <xdr:nvPicPr>
        <xdr:cNvPr id="22" name="Imagen 26">
          <a:extLst>
            <a:ext uri="{FF2B5EF4-FFF2-40B4-BE49-F238E27FC236}">
              <a16:creationId xmlns=""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962" y="20017154"/>
          <a:ext cx="512883"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43961</xdr:colOff>
      <xdr:row>106</xdr:row>
      <xdr:rowOff>21980</xdr:rowOff>
    </xdr:from>
    <xdr:ext cx="512883" cy="189218"/>
    <xdr:pic>
      <xdr:nvPicPr>
        <xdr:cNvPr id="23" name="Imagen 27">
          <a:extLst>
            <a:ext uri="{FF2B5EF4-FFF2-40B4-BE49-F238E27FC236}">
              <a16:creationId xmlns=""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961" y="20214980"/>
          <a:ext cx="512883"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107</xdr:row>
      <xdr:rowOff>175846</xdr:rowOff>
    </xdr:from>
    <xdr:ext cx="579559" cy="235204"/>
    <xdr:pic>
      <xdr:nvPicPr>
        <xdr:cNvPr id="24" name="Picture 4" descr="Resultado de imagen para logo dian">
          <a:extLst>
            <a:ext uri="{FF2B5EF4-FFF2-40B4-BE49-F238E27FC236}">
              <a16:creationId xmlns=""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0559346"/>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107</xdr:row>
      <xdr:rowOff>0</xdr:rowOff>
    </xdr:from>
    <xdr:ext cx="579559" cy="235204"/>
    <xdr:pic>
      <xdr:nvPicPr>
        <xdr:cNvPr id="25" name="Picture 4" descr="Resultado de imagen para logo dian">
          <a:extLst>
            <a:ext uri="{FF2B5EF4-FFF2-40B4-BE49-F238E27FC236}">
              <a16:creationId xmlns=""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03835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114</xdr:row>
      <xdr:rowOff>0</xdr:rowOff>
    </xdr:from>
    <xdr:ext cx="579559" cy="235204"/>
    <xdr:pic>
      <xdr:nvPicPr>
        <xdr:cNvPr id="26" name="Picture 4" descr="Resultado de imagen para logo dian">
          <a:extLst>
            <a:ext uri="{FF2B5EF4-FFF2-40B4-BE49-F238E27FC236}">
              <a16:creationId xmlns=""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17170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118</xdr:row>
      <xdr:rowOff>0</xdr:rowOff>
    </xdr:from>
    <xdr:ext cx="579559" cy="235204"/>
    <xdr:pic>
      <xdr:nvPicPr>
        <xdr:cNvPr id="27" name="Picture 4" descr="Resultado de imagen para logo dian">
          <a:extLst>
            <a:ext uri="{FF2B5EF4-FFF2-40B4-BE49-F238E27FC236}">
              <a16:creationId xmlns=""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24790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118</xdr:row>
      <xdr:rowOff>0</xdr:rowOff>
    </xdr:from>
    <xdr:ext cx="579559" cy="235204"/>
    <xdr:pic>
      <xdr:nvPicPr>
        <xdr:cNvPr id="28" name="Picture 4" descr="Resultado de imagen para logo dian">
          <a:extLst>
            <a:ext uri="{FF2B5EF4-FFF2-40B4-BE49-F238E27FC236}">
              <a16:creationId xmlns=""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24790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117</xdr:row>
      <xdr:rowOff>0</xdr:rowOff>
    </xdr:from>
    <xdr:ext cx="579559" cy="235204"/>
    <xdr:pic>
      <xdr:nvPicPr>
        <xdr:cNvPr id="29" name="Picture 4" descr="Resultado de imagen para logo dian">
          <a:extLst>
            <a:ext uri="{FF2B5EF4-FFF2-40B4-BE49-F238E27FC236}">
              <a16:creationId xmlns=""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22885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122</xdr:row>
      <xdr:rowOff>14654</xdr:rowOff>
    </xdr:from>
    <xdr:ext cx="579559" cy="235204"/>
    <xdr:pic>
      <xdr:nvPicPr>
        <xdr:cNvPr id="30" name="Picture 4" descr="Resultado de imagen para logo dian">
          <a:extLst>
            <a:ext uri="{FF2B5EF4-FFF2-40B4-BE49-F238E27FC236}">
              <a16:creationId xmlns=""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255654"/>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121</xdr:row>
      <xdr:rowOff>0</xdr:rowOff>
    </xdr:from>
    <xdr:ext cx="579559" cy="235204"/>
    <xdr:pic>
      <xdr:nvPicPr>
        <xdr:cNvPr id="31" name="Picture 4" descr="Resultado de imagen para logo dian">
          <a:extLst>
            <a:ext uri="{FF2B5EF4-FFF2-40B4-BE49-F238E27FC236}">
              <a16:creationId xmlns=""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0505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126</xdr:row>
      <xdr:rowOff>0</xdr:rowOff>
    </xdr:from>
    <xdr:ext cx="579559" cy="235204"/>
    <xdr:pic>
      <xdr:nvPicPr>
        <xdr:cNvPr id="32" name="Picture 4" descr="Resultado de imagen para logo dian">
          <a:extLst>
            <a:ext uri="{FF2B5EF4-FFF2-40B4-BE49-F238E27FC236}">
              <a16:creationId xmlns=""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40030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128</xdr:row>
      <xdr:rowOff>0</xdr:rowOff>
    </xdr:from>
    <xdr:to>
      <xdr:col>6</xdr:col>
      <xdr:colOff>0</xdr:colOff>
      <xdr:row>132</xdr:row>
      <xdr:rowOff>0</xdr:rowOff>
    </xdr:to>
    <xdr:sp macro="" textlink="">
      <xdr:nvSpPr>
        <xdr:cNvPr id="33" name="4 Rectángulo redondeado">
          <a:extLst>
            <a:ext uri="{FF2B5EF4-FFF2-40B4-BE49-F238E27FC236}">
              <a16:creationId xmlns="" xmlns:a16="http://schemas.microsoft.com/office/drawing/2014/main" id="{00000000-0008-0000-0200-000021000000}"/>
            </a:ext>
          </a:extLst>
        </xdr:cNvPr>
        <xdr:cNvSpPr/>
      </xdr:nvSpPr>
      <xdr:spPr>
        <a:xfrm>
          <a:off x="762000" y="24384000"/>
          <a:ext cx="6791325" cy="76200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oneCellAnchor>
    <xdr:from>
      <xdr:col>0</xdr:col>
      <xdr:colOff>0</xdr:colOff>
      <xdr:row>130</xdr:row>
      <xdr:rowOff>14654</xdr:rowOff>
    </xdr:from>
    <xdr:ext cx="579559" cy="235204"/>
    <xdr:pic>
      <xdr:nvPicPr>
        <xdr:cNvPr id="34" name="Picture 4" descr="Resultado de imagen para logo dian">
          <a:extLst>
            <a:ext uri="{FF2B5EF4-FFF2-40B4-BE49-F238E27FC236}">
              <a16:creationId xmlns=""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4779654"/>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129</xdr:row>
      <xdr:rowOff>0</xdr:rowOff>
    </xdr:from>
    <xdr:ext cx="579559" cy="235204"/>
    <xdr:pic>
      <xdr:nvPicPr>
        <xdr:cNvPr id="35" name="Picture 4" descr="Resultado de imagen para logo dian">
          <a:extLst>
            <a:ext uri="{FF2B5EF4-FFF2-40B4-BE49-F238E27FC236}">
              <a16:creationId xmlns=""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45745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132</xdr:row>
      <xdr:rowOff>77390</xdr:rowOff>
    </xdr:from>
    <xdr:to>
      <xdr:col>6</xdr:col>
      <xdr:colOff>0</xdr:colOff>
      <xdr:row>135</xdr:row>
      <xdr:rowOff>196452</xdr:rowOff>
    </xdr:to>
    <xdr:sp macro="" textlink="">
      <xdr:nvSpPr>
        <xdr:cNvPr id="36" name="5 Rectángulo redondeado">
          <a:extLst>
            <a:ext uri="{FF2B5EF4-FFF2-40B4-BE49-F238E27FC236}">
              <a16:creationId xmlns="" xmlns:a16="http://schemas.microsoft.com/office/drawing/2014/main" id="{00000000-0008-0000-0200-000024000000}"/>
            </a:ext>
          </a:extLst>
        </xdr:cNvPr>
        <xdr:cNvSpPr/>
      </xdr:nvSpPr>
      <xdr:spPr>
        <a:xfrm>
          <a:off x="762000" y="25223390"/>
          <a:ext cx="6791325" cy="681037"/>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oneCellAnchor>
    <xdr:from>
      <xdr:col>0</xdr:col>
      <xdr:colOff>0</xdr:colOff>
      <xdr:row>134</xdr:row>
      <xdr:rowOff>0</xdr:rowOff>
    </xdr:from>
    <xdr:ext cx="579559" cy="235204"/>
    <xdr:pic>
      <xdr:nvPicPr>
        <xdr:cNvPr id="37" name="Picture 4" descr="Resultado de imagen para logo dian">
          <a:extLst>
            <a:ext uri="{FF2B5EF4-FFF2-40B4-BE49-F238E27FC236}">
              <a16:creationId xmlns=""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55270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137</xdr:row>
      <xdr:rowOff>0</xdr:rowOff>
    </xdr:from>
    <xdr:to>
      <xdr:col>6</xdr:col>
      <xdr:colOff>0</xdr:colOff>
      <xdr:row>141</xdr:row>
      <xdr:rowOff>0</xdr:rowOff>
    </xdr:to>
    <xdr:sp macro="" textlink="">
      <xdr:nvSpPr>
        <xdr:cNvPr id="38" name="4 Rectángulo redondeado">
          <a:extLst>
            <a:ext uri="{FF2B5EF4-FFF2-40B4-BE49-F238E27FC236}">
              <a16:creationId xmlns="" xmlns:a16="http://schemas.microsoft.com/office/drawing/2014/main" id="{00000000-0008-0000-0200-000026000000}"/>
            </a:ext>
          </a:extLst>
        </xdr:cNvPr>
        <xdr:cNvSpPr/>
      </xdr:nvSpPr>
      <xdr:spPr>
        <a:xfrm>
          <a:off x="762000" y="26098500"/>
          <a:ext cx="6791325" cy="76200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oneCellAnchor>
    <xdr:from>
      <xdr:col>0</xdr:col>
      <xdr:colOff>0</xdr:colOff>
      <xdr:row>139</xdr:row>
      <xdr:rowOff>14654</xdr:rowOff>
    </xdr:from>
    <xdr:ext cx="579559" cy="235204"/>
    <xdr:pic>
      <xdr:nvPicPr>
        <xdr:cNvPr id="39" name="Picture 4" descr="Resultado de imagen para logo dian">
          <a:extLst>
            <a:ext uri="{FF2B5EF4-FFF2-40B4-BE49-F238E27FC236}">
              <a16:creationId xmlns=""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6494154"/>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138</xdr:row>
      <xdr:rowOff>0</xdr:rowOff>
    </xdr:from>
    <xdr:ext cx="579559" cy="235204"/>
    <xdr:pic>
      <xdr:nvPicPr>
        <xdr:cNvPr id="40" name="Picture 4" descr="Resultado de imagen para logo dian">
          <a:extLst>
            <a:ext uri="{FF2B5EF4-FFF2-40B4-BE49-F238E27FC236}">
              <a16:creationId xmlns="" xmlns:a16="http://schemas.microsoft.com/office/drawing/2014/main" id="{00000000-0008-0000-0200-00002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62890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7327</xdr:colOff>
      <xdr:row>142</xdr:row>
      <xdr:rowOff>7327</xdr:rowOff>
    </xdr:from>
    <xdr:to>
      <xdr:col>6</xdr:col>
      <xdr:colOff>0</xdr:colOff>
      <xdr:row>145</xdr:row>
      <xdr:rowOff>7327</xdr:rowOff>
    </xdr:to>
    <xdr:sp macro="" textlink="">
      <xdr:nvSpPr>
        <xdr:cNvPr id="41" name="5 Rectángulo redondeado">
          <a:extLst>
            <a:ext uri="{FF2B5EF4-FFF2-40B4-BE49-F238E27FC236}">
              <a16:creationId xmlns="" xmlns:a16="http://schemas.microsoft.com/office/drawing/2014/main" id="{00000000-0008-0000-0200-000029000000}"/>
            </a:ext>
          </a:extLst>
        </xdr:cNvPr>
        <xdr:cNvSpPr/>
      </xdr:nvSpPr>
      <xdr:spPr>
        <a:xfrm>
          <a:off x="769327" y="27058327"/>
          <a:ext cx="6783998" cy="57150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oneCellAnchor>
    <xdr:from>
      <xdr:col>0</xdr:col>
      <xdr:colOff>0</xdr:colOff>
      <xdr:row>143</xdr:row>
      <xdr:rowOff>0</xdr:rowOff>
    </xdr:from>
    <xdr:ext cx="579559" cy="235204"/>
    <xdr:pic>
      <xdr:nvPicPr>
        <xdr:cNvPr id="42" name="Picture 4" descr="Resultado de imagen para logo dian">
          <a:extLst>
            <a:ext uri="{FF2B5EF4-FFF2-40B4-BE49-F238E27FC236}">
              <a16:creationId xmlns="" xmlns:a16="http://schemas.microsoft.com/office/drawing/2014/main" id="{00000000-0008-0000-02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72415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34</xdr:row>
      <xdr:rowOff>0</xdr:rowOff>
    </xdr:from>
    <xdr:ext cx="512883" cy="189218"/>
    <xdr:pic>
      <xdr:nvPicPr>
        <xdr:cNvPr id="43" name="Imagen 53">
          <a:extLst>
            <a:ext uri="{FF2B5EF4-FFF2-40B4-BE49-F238E27FC236}">
              <a16:creationId xmlns=""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6477000"/>
          <a:ext cx="512883"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123</xdr:row>
      <xdr:rowOff>0</xdr:rowOff>
    </xdr:from>
    <xdr:ext cx="512883" cy="189218"/>
    <xdr:pic>
      <xdr:nvPicPr>
        <xdr:cNvPr id="44" name="Imagen 54">
          <a:extLst>
            <a:ext uri="{FF2B5EF4-FFF2-40B4-BE49-F238E27FC236}">
              <a16:creationId xmlns=""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3431500"/>
          <a:ext cx="512883"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131</xdr:row>
      <xdr:rowOff>0</xdr:rowOff>
    </xdr:from>
    <xdr:ext cx="512883" cy="189218"/>
    <xdr:pic>
      <xdr:nvPicPr>
        <xdr:cNvPr id="45" name="Imagen 55">
          <a:extLst>
            <a:ext uri="{FF2B5EF4-FFF2-40B4-BE49-F238E27FC236}">
              <a16:creationId xmlns="" xmlns:a16="http://schemas.microsoft.com/office/drawing/2014/main" id="{00000000-0008-0000-0200-00002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4955500"/>
          <a:ext cx="512883"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140</xdr:row>
      <xdr:rowOff>0</xdr:rowOff>
    </xdr:from>
    <xdr:ext cx="512883" cy="189218"/>
    <xdr:pic>
      <xdr:nvPicPr>
        <xdr:cNvPr id="46" name="Imagen 56">
          <a:extLst>
            <a:ext uri="{FF2B5EF4-FFF2-40B4-BE49-F238E27FC236}">
              <a16:creationId xmlns=""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6670000"/>
          <a:ext cx="512883"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102</xdr:row>
      <xdr:rowOff>29308</xdr:rowOff>
    </xdr:from>
    <xdr:ext cx="718038" cy="187314"/>
    <xdr:pic>
      <xdr:nvPicPr>
        <xdr:cNvPr id="47" name="Imagen 16">
          <a:extLst>
            <a:ext uri="{FF2B5EF4-FFF2-40B4-BE49-F238E27FC236}">
              <a16:creationId xmlns=""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9460308"/>
          <a:ext cx="718038" cy="18731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1</xdr:col>
      <xdr:colOff>8282</xdr:colOff>
      <xdr:row>7</xdr:row>
      <xdr:rowOff>16565</xdr:rowOff>
    </xdr:from>
    <xdr:to>
      <xdr:col>5</xdr:col>
      <xdr:colOff>0</xdr:colOff>
      <xdr:row>25</xdr:row>
      <xdr:rowOff>0</xdr:rowOff>
    </xdr:to>
    <xdr:sp macro="" textlink="">
      <xdr:nvSpPr>
        <xdr:cNvPr id="2" name="1 Rectángulo redondeado">
          <a:extLst>
            <a:ext uri="{FF2B5EF4-FFF2-40B4-BE49-F238E27FC236}">
              <a16:creationId xmlns="" xmlns:a16="http://schemas.microsoft.com/office/drawing/2014/main" id="{00000000-0008-0000-0300-000002000000}"/>
            </a:ext>
          </a:extLst>
        </xdr:cNvPr>
        <xdr:cNvSpPr/>
      </xdr:nvSpPr>
      <xdr:spPr>
        <a:xfrm>
          <a:off x="265457" y="1350065"/>
          <a:ext cx="9202393" cy="3412435"/>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oneCellAnchor>
    <xdr:from>
      <xdr:col>0</xdr:col>
      <xdr:colOff>6595</xdr:colOff>
      <xdr:row>7</xdr:row>
      <xdr:rowOff>143609</xdr:rowOff>
    </xdr:from>
    <xdr:ext cx="0" cy="235204"/>
    <xdr:pic>
      <xdr:nvPicPr>
        <xdr:cNvPr id="3" name="Picture 4" descr="Resultado de imagen para logo dian">
          <a:extLst>
            <a:ext uri="{FF2B5EF4-FFF2-40B4-BE49-F238E27FC236}">
              <a16:creationId xmlns=""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95" y="1477109"/>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21</xdr:row>
      <xdr:rowOff>131884</xdr:rowOff>
    </xdr:from>
    <xdr:ext cx="0" cy="235204"/>
    <xdr:pic>
      <xdr:nvPicPr>
        <xdr:cNvPr id="4" name="Picture 4" descr="Resultado de imagen para logo dian">
          <a:extLst>
            <a:ext uri="{FF2B5EF4-FFF2-40B4-BE49-F238E27FC236}">
              <a16:creationId xmlns=""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132384"/>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5953</xdr:colOff>
      <xdr:row>25</xdr:row>
      <xdr:rowOff>0</xdr:rowOff>
    </xdr:from>
    <xdr:ext cx="0" cy="235204"/>
    <xdr:pic>
      <xdr:nvPicPr>
        <xdr:cNvPr id="5" name="Picture 4" descr="Resultado de imagen para logo dian">
          <a:extLst>
            <a:ext uri="{FF2B5EF4-FFF2-40B4-BE49-F238E27FC236}">
              <a16:creationId xmlns=""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53"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187314"/>
    <xdr:pic>
      <xdr:nvPicPr>
        <xdr:cNvPr id="6" name="Imagen 15">
          <a:extLst>
            <a:ext uri="{FF2B5EF4-FFF2-40B4-BE49-F238E27FC236}">
              <a16:creationId xmlns=""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762500"/>
          <a:ext cx="0" cy="18731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187314"/>
    <xdr:pic>
      <xdr:nvPicPr>
        <xdr:cNvPr id="7" name="Imagen 16">
          <a:extLst>
            <a:ext uri="{FF2B5EF4-FFF2-40B4-BE49-F238E27FC236}">
              <a16:creationId xmlns=""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762500"/>
          <a:ext cx="0" cy="18731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8" name="Picture 4" descr="Resultado de imagen para logo dian">
          <a:extLst>
            <a:ext uri="{FF2B5EF4-FFF2-40B4-BE49-F238E27FC236}">
              <a16:creationId xmlns=""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9" name="Picture 4" descr="Resultado de imagen para logo dian">
          <a:extLst>
            <a:ext uri="{FF2B5EF4-FFF2-40B4-BE49-F238E27FC236}">
              <a16:creationId xmlns=""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10" name="Picture 4" descr="Resultado de imagen para logo dian">
          <a:extLst>
            <a:ext uri="{FF2B5EF4-FFF2-40B4-BE49-F238E27FC236}">
              <a16:creationId xmlns=""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36635</xdr:colOff>
      <xdr:row>25</xdr:row>
      <xdr:rowOff>0</xdr:rowOff>
    </xdr:from>
    <xdr:ext cx="0" cy="189218"/>
    <xdr:pic>
      <xdr:nvPicPr>
        <xdr:cNvPr id="11" name="Imagen 22">
          <a:extLst>
            <a:ext uri="{FF2B5EF4-FFF2-40B4-BE49-F238E27FC236}">
              <a16:creationId xmlns=""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635" y="4762500"/>
          <a:ext cx="0"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12" name="Picture 4" descr="Resultado de imagen para logo dian">
          <a:extLst>
            <a:ext uri="{FF2B5EF4-FFF2-40B4-BE49-F238E27FC236}">
              <a16:creationId xmlns=""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13" name="Picture 4" descr="Resultado de imagen para logo dian">
          <a:extLst>
            <a:ext uri="{FF2B5EF4-FFF2-40B4-BE49-F238E27FC236}">
              <a16:creationId xmlns=""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14" name="Picture 4" descr="Resultado de imagen para logo dian">
          <a:extLst>
            <a:ext uri="{FF2B5EF4-FFF2-40B4-BE49-F238E27FC236}">
              <a16:creationId xmlns=""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43962</xdr:colOff>
      <xdr:row>25</xdr:row>
      <xdr:rowOff>0</xdr:rowOff>
    </xdr:from>
    <xdr:ext cx="0" cy="189218"/>
    <xdr:pic>
      <xdr:nvPicPr>
        <xdr:cNvPr id="15" name="Imagen 26">
          <a:extLst>
            <a:ext uri="{FF2B5EF4-FFF2-40B4-BE49-F238E27FC236}">
              <a16:creationId xmlns=""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962" y="4762500"/>
          <a:ext cx="0"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43961</xdr:colOff>
      <xdr:row>25</xdr:row>
      <xdr:rowOff>0</xdr:rowOff>
    </xdr:from>
    <xdr:ext cx="0" cy="189218"/>
    <xdr:pic>
      <xdr:nvPicPr>
        <xdr:cNvPr id="16" name="Imagen 27">
          <a:extLst>
            <a:ext uri="{FF2B5EF4-FFF2-40B4-BE49-F238E27FC236}">
              <a16:creationId xmlns=""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961" y="4762500"/>
          <a:ext cx="0"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17" name="Picture 4" descr="Resultado de imagen para logo dian">
          <a:extLst>
            <a:ext uri="{FF2B5EF4-FFF2-40B4-BE49-F238E27FC236}">
              <a16:creationId xmlns=""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18" name="Picture 4" descr="Resultado de imagen para logo dian">
          <a:extLst>
            <a:ext uri="{FF2B5EF4-FFF2-40B4-BE49-F238E27FC236}">
              <a16:creationId xmlns=""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19" name="Picture 4" descr="Resultado de imagen para logo dian">
          <a:extLst>
            <a:ext uri="{FF2B5EF4-FFF2-40B4-BE49-F238E27FC236}">
              <a16:creationId xmlns=""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20" name="Picture 4" descr="Resultado de imagen para logo dian">
          <a:extLst>
            <a:ext uri="{FF2B5EF4-FFF2-40B4-BE49-F238E27FC236}">
              <a16:creationId xmlns=""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21" name="Picture 4" descr="Resultado de imagen para logo dian">
          <a:extLst>
            <a:ext uri="{FF2B5EF4-FFF2-40B4-BE49-F238E27FC236}">
              <a16:creationId xmlns=""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22" name="Picture 4" descr="Resultado de imagen para logo dian">
          <a:extLst>
            <a:ext uri="{FF2B5EF4-FFF2-40B4-BE49-F238E27FC236}">
              <a16:creationId xmlns="" xmlns:a16="http://schemas.microsoft.com/office/drawing/2014/main" id="{00000000-0008-0000-03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23" name="Picture 4" descr="Resultado de imagen para logo dian">
          <a:extLst>
            <a:ext uri="{FF2B5EF4-FFF2-40B4-BE49-F238E27FC236}">
              <a16:creationId xmlns="" xmlns:a16="http://schemas.microsoft.com/office/drawing/2014/main" id="{00000000-0008-0000-03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24" name="Picture 4" descr="Resultado de imagen para logo dian">
          <a:extLst>
            <a:ext uri="{FF2B5EF4-FFF2-40B4-BE49-F238E27FC236}">
              <a16:creationId xmlns="" xmlns:a16="http://schemas.microsoft.com/office/drawing/2014/main" id="{00000000-0008-0000-03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25" name="Picture 4" descr="Resultado de imagen para logo dian">
          <a:extLst>
            <a:ext uri="{FF2B5EF4-FFF2-40B4-BE49-F238E27FC236}">
              <a16:creationId xmlns="" xmlns:a16="http://schemas.microsoft.com/office/drawing/2014/main" id="{00000000-0008-0000-03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189218"/>
    <xdr:pic>
      <xdr:nvPicPr>
        <xdr:cNvPr id="26" name="Imagen 53">
          <a:extLst>
            <a:ext uri="{FF2B5EF4-FFF2-40B4-BE49-F238E27FC236}">
              <a16:creationId xmlns="" xmlns:a16="http://schemas.microsoft.com/office/drawing/2014/main" id="{00000000-0008-0000-0300-00001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4762500"/>
          <a:ext cx="0"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189218"/>
    <xdr:pic>
      <xdr:nvPicPr>
        <xdr:cNvPr id="27" name="Imagen 54">
          <a:extLst>
            <a:ext uri="{FF2B5EF4-FFF2-40B4-BE49-F238E27FC236}">
              <a16:creationId xmlns="" xmlns:a16="http://schemas.microsoft.com/office/drawing/2014/main" id="{00000000-0008-0000-0300-00001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4762500"/>
          <a:ext cx="0"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189218"/>
    <xdr:pic>
      <xdr:nvPicPr>
        <xdr:cNvPr id="28" name="Imagen 55">
          <a:extLst>
            <a:ext uri="{FF2B5EF4-FFF2-40B4-BE49-F238E27FC236}">
              <a16:creationId xmlns="" xmlns:a16="http://schemas.microsoft.com/office/drawing/2014/main" id="{00000000-0008-0000-0300-00001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4762500"/>
          <a:ext cx="0"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189218"/>
    <xdr:pic>
      <xdr:nvPicPr>
        <xdr:cNvPr id="29" name="Imagen 56">
          <a:extLst>
            <a:ext uri="{FF2B5EF4-FFF2-40B4-BE49-F238E27FC236}">
              <a16:creationId xmlns="" xmlns:a16="http://schemas.microsoft.com/office/drawing/2014/main" id="{00000000-0008-0000-0300-00001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4762500"/>
          <a:ext cx="0"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7327</xdr:colOff>
      <xdr:row>29</xdr:row>
      <xdr:rowOff>7327</xdr:rowOff>
    </xdr:from>
    <xdr:to>
      <xdr:col>6</xdr:col>
      <xdr:colOff>0</xdr:colOff>
      <xdr:row>32</xdr:row>
      <xdr:rowOff>7327</xdr:rowOff>
    </xdr:to>
    <xdr:sp macro="" textlink="">
      <xdr:nvSpPr>
        <xdr:cNvPr id="30" name="5 Rectángulo redondeado">
          <a:extLst>
            <a:ext uri="{FF2B5EF4-FFF2-40B4-BE49-F238E27FC236}">
              <a16:creationId xmlns="" xmlns:a16="http://schemas.microsoft.com/office/drawing/2014/main" id="{00000000-0008-0000-0300-00001E000000}"/>
            </a:ext>
          </a:extLst>
        </xdr:cNvPr>
        <xdr:cNvSpPr/>
      </xdr:nvSpPr>
      <xdr:spPr>
        <a:xfrm>
          <a:off x="264502" y="5531827"/>
          <a:ext cx="9203348" cy="57150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11</xdr:row>
      <xdr:rowOff>0</xdr:rowOff>
    </xdr:from>
    <xdr:ext cx="5295900" cy="1280160"/>
    <xdr:sp macro="" textlink="">
      <xdr:nvSpPr>
        <xdr:cNvPr id="4" name="3 Rectángulo redondeado">
          <a:extLst>
            <a:ext uri="{FF2B5EF4-FFF2-40B4-BE49-F238E27FC236}">
              <a16:creationId xmlns="" xmlns:a16="http://schemas.microsoft.com/office/drawing/2014/main" id="{00000000-0008-0000-0900-000004000000}"/>
            </a:ext>
          </a:extLst>
        </xdr:cNvPr>
        <xdr:cNvSpPr/>
      </xdr:nvSpPr>
      <xdr:spPr>
        <a:xfrm>
          <a:off x="0" y="3230880"/>
          <a:ext cx="5295900" cy="128016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endParaRPr lang="es-CO"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hony.duran@cafedecolombia.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pageSetUpPr fitToPage="1"/>
  </sheetPr>
  <dimension ref="A1:K91"/>
  <sheetViews>
    <sheetView showGridLines="0" tabSelected="1" zoomScale="175" zoomScaleNormal="175" workbookViewId="0">
      <selection activeCell="D8" sqref="D8"/>
    </sheetView>
  </sheetViews>
  <sheetFormatPr baseColWidth="10" defaultColWidth="0" defaultRowHeight="15" zeroHeight="1" x14ac:dyDescent="0.25"/>
  <cols>
    <col min="1" max="1" width="2.140625" customWidth="1"/>
    <col min="2" max="2" width="50.85546875" customWidth="1"/>
    <col min="3" max="3" width="2" style="76" customWidth="1"/>
    <col min="4" max="4" width="31.7109375" customWidth="1"/>
    <col min="5" max="5" width="1.5703125" customWidth="1"/>
    <col min="6" max="6" width="2.5703125" customWidth="1"/>
    <col min="7" max="7" width="3" customWidth="1"/>
    <col min="8" max="8" width="1.140625" hidden="1" customWidth="1"/>
    <col min="9" max="9" width="0.140625" style="76" hidden="1" customWidth="1"/>
    <col min="10" max="10" width="1.28515625" customWidth="1"/>
    <col min="11" max="11" width="0.140625" customWidth="1"/>
    <col min="12" max="16384" width="11.5703125" hidden="1"/>
  </cols>
  <sheetData>
    <row r="1" spans="1:10" ht="6.75" customHeight="1" x14ac:dyDescent="0.25">
      <c r="A1" s="34"/>
      <c r="B1" s="35"/>
      <c r="C1" s="35"/>
      <c r="D1" s="35"/>
      <c r="E1" s="35"/>
      <c r="F1" s="35"/>
      <c r="G1" s="35"/>
      <c r="H1" s="35"/>
      <c r="I1" s="35"/>
      <c r="J1" s="36"/>
    </row>
    <row r="2" spans="1:10" ht="18.75" x14ac:dyDescent="0.3">
      <c r="A2" s="37"/>
      <c r="B2" s="322" t="s">
        <v>764</v>
      </c>
      <c r="C2" s="322"/>
      <c r="D2" s="322"/>
      <c r="E2" s="322"/>
      <c r="F2" s="322"/>
      <c r="G2" s="322"/>
      <c r="H2" s="31"/>
      <c r="I2" s="31"/>
      <c r="J2" s="38"/>
    </row>
    <row r="3" spans="1:10" ht="6" customHeight="1" thickBot="1" x14ac:dyDescent="0.3">
      <c r="A3" s="37"/>
      <c r="B3" s="31"/>
      <c r="C3" s="31"/>
      <c r="D3" s="31"/>
      <c r="E3" s="31"/>
      <c r="F3" s="31"/>
      <c r="G3" s="31"/>
      <c r="H3" s="31"/>
      <c r="I3" s="31"/>
      <c r="J3" s="38"/>
    </row>
    <row r="4" spans="1:10" ht="16.5" thickTop="1" thickBot="1" x14ac:dyDescent="0.3">
      <c r="A4" s="37"/>
      <c r="B4" s="32" t="s">
        <v>51</v>
      </c>
      <c r="C4" s="32"/>
      <c r="D4" s="323" t="s">
        <v>763</v>
      </c>
      <c r="E4" s="324"/>
      <c r="F4" s="324"/>
      <c r="G4" s="324"/>
      <c r="H4" s="325"/>
      <c r="I4" s="84"/>
      <c r="J4" s="38"/>
    </row>
    <row r="5" spans="1:10" ht="5.25" customHeight="1" thickBot="1" x14ac:dyDescent="0.3">
      <c r="A5" s="37"/>
      <c r="B5" s="32"/>
      <c r="C5" s="32"/>
      <c r="D5" s="31"/>
      <c r="E5" s="33"/>
      <c r="F5" s="33">
        <f>MOD((VALUE(MID(TEXT(D6,"000000000000000"),15,1))*3+VALUE(MID(TEXT(D6,"000000000000000"),14,1))*7+VALUE(MID(TEXT(D6,"000000000000000"),13,1))*13+VALUE(MID(TEXT(D6,"000000000000000"),12,1))*17+VALUE(MID(TEXT(D6,"000000000000000"),11,1))*19+VALUE(MID(TEXT(D6,"000000000000000"),10,1))*23+VALUE(MID(TEXT(D6,"000000000000000"),9,1))*29+VALUE(MID(TEXT(D6,"000000000000000"),8,1))*37+VALUE(MID(TEXT(D6,"000000000000000"),7,1))*41+VALUE(MID(TEXT(D6,"000000000000000"),6,1))*43+VALUE(MID(TEXT(D6,"000000000000000"),5,1))*47+VALUE(MID(TEXT(D6,"000000000000000"),4,1))*53+VALUE(MID(TEXT(D6,"000000000000000"),3,1))*59+VALUE(MID(TEXT(D6,"000000000000000"),2,1))*67+VALUE(MID(TEXT(D6,"000000000000000"),1,1))*71),11)</f>
        <v>5</v>
      </c>
      <c r="G5" s="31"/>
      <c r="H5" s="31"/>
      <c r="I5" s="31"/>
      <c r="J5" s="38"/>
    </row>
    <row r="6" spans="1:10" ht="15.75" thickBot="1" x14ac:dyDescent="0.3">
      <c r="A6" s="37"/>
      <c r="B6" s="32" t="s">
        <v>50</v>
      </c>
      <c r="C6" s="32"/>
      <c r="D6" s="8">
        <v>901000001</v>
      </c>
      <c r="E6" s="10"/>
      <c r="F6" s="39" t="s">
        <v>31</v>
      </c>
      <c r="G6" s="23">
        <f>IF(F5=0,0,IF(F5=1,1,11-F5))</f>
        <v>6</v>
      </c>
      <c r="H6" s="31"/>
      <c r="I6" s="31"/>
      <c r="J6" s="38"/>
    </row>
    <row r="7" spans="1:10" ht="4.5" customHeight="1" x14ac:dyDescent="0.25">
      <c r="A7" s="37"/>
      <c r="B7" s="31"/>
      <c r="C7" s="31"/>
      <c r="D7" s="31"/>
      <c r="E7" s="31"/>
      <c r="F7" s="31"/>
      <c r="G7" s="31"/>
      <c r="H7" s="31"/>
      <c r="I7" s="31"/>
      <c r="J7" s="38"/>
    </row>
    <row r="8" spans="1:10" x14ac:dyDescent="0.25">
      <c r="A8" s="37"/>
      <c r="B8" s="31" t="s">
        <v>0</v>
      </c>
      <c r="C8" s="31"/>
      <c r="D8" s="1">
        <f>IF(D10="Grandes Contribuyentes",VALUE(MID(TEXT(D6,"000000000000000"),15,1)),+VALUE(MID(TEXT(D6,"000000000000000"),14,2)))</f>
        <v>1</v>
      </c>
      <c r="E8" s="10"/>
      <c r="F8" s="10"/>
      <c r="G8" s="31"/>
      <c r="H8" s="31"/>
      <c r="I8" s="31"/>
      <c r="J8" s="38"/>
    </row>
    <row r="9" spans="1:10" ht="4.5" customHeight="1" thickBot="1" x14ac:dyDescent="0.3">
      <c r="A9" s="37"/>
      <c r="B9" s="31"/>
      <c r="C9" s="31"/>
      <c r="D9" s="10"/>
      <c r="E9" s="10"/>
      <c r="F9" s="10"/>
      <c r="G9" s="10"/>
      <c r="H9" s="31"/>
      <c r="I9" s="31"/>
      <c r="J9" s="38"/>
    </row>
    <row r="10" spans="1:10" ht="16.5" thickTop="1" thickBot="1" x14ac:dyDescent="0.3">
      <c r="A10" s="37"/>
      <c r="B10" s="31" t="s">
        <v>27</v>
      </c>
      <c r="C10" s="31"/>
      <c r="D10" s="326" t="s">
        <v>26</v>
      </c>
      <c r="E10" s="327"/>
      <c r="F10" s="327"/>
      <c r="G10" s="327"/>
      <c r="H10" s="328"/>
      <c r="I10" s="75"/>
      <c r="J10" s="38" t="s">
        <v>52</v>
      </c>
    </row>
    <row r="11" spans="1:10" x14ac:dyDescent="0.25">
      <c r="A11" s="37"/>
      <c r="B11" s="332" t="s">
        <v>282</v>
      </c>
      <c r="C11" s="77"/>
      <c r="D11" s="78">
        <v>1</v>
      </c>
      <c r="E11" s="31"/>
      <c r="F11" s="31"/>
      <c r="G11" s="31"/>
      <c r="H11" s="81" t="str">
        <f>+'DR 2345 Plazos'!D3</f>
        <v>Grandes Contribuyentes</v>
      </c>
      <c r="I11" s="31"/>
      <c r="J11" s="38" t="s">
        <v>52</v>
      </c>
    </row>
    <row r="12" spans="1:10" s="71" customFormat="1" x14ac:dyDescent="0.25">
      <c r="A12" s="37"/>
      <c r="B12" s="332"/>
      <c r="C12" s="31"/>
      <c r="D12" s="79"/>
      <c r="E12" s="31"/>
      <c r="F12" s="31"/>
      <c r="G12" s="31"/>
      <c r="H12" s="82" t="str">
        <f>+'DR 2345 Plazos'!D4</f>
        <v>Personas Jurídicas y demás contribuyentes</v>
      </c>
      <c r="I12" s="31"/>
      <c r="J12" s="38"/>
    </row>
    <row r="13" spans="1:10" s="71" customFormat="1" ht="8.25" customHeight="1" thickBot="1" x14ac:dyDescent="0.3">
      <c r="A13" s="40"/>
      <c r="B13" s="41"/>
      <c r="C13" s="41"/>
      <c r="D13" s="80"/>
      <c r="E13" s="41"/>
      <c r="F13" s="41"/>
      <c r="G13" s="41"/>
      <c r="H13" s="83" t="str">
        <f>+'DR 2345 Plazos'!D5</f>
        <v>Personas Naturales y Sucesiones llíquidas</v>
      </c>
      <c r="I13" s="41"/>
      <c r="J13" s="42"/>
    </row>
    <row r="14" spans="1:10" ht="12.75" customHeight="1" x14ac:dyDescent="0.25">
      <c r="A14" s="236"/>
      <c r="B14" s="237"/>
      <c r="C14" s="237"/>
      <c r="D14" s="238" t="s">
        <v>305</v>
      </c>
      <c r="E14" s="239"/>
      <c r="F14" s="240">
        <v>1</v>
      </c>
      <c r="G14" s="237"/>
      <c r="H14" s="237" t="s">
        <v>52</v>
      </c>
      <c r="I14" s="237"/>
      <c r="J14" s="241"/>
    </row>
    <row r="15" spans="1:10" ht="10.35" customHeight="1" x14ac:dyDescent="0.25">
      <c r="A15" s="236"/>
      <c r="B15" s="237"/>
      <c r="C15" s="237"/>
      <c r="D15" s="238" t="s">
        <v>62</v>
      </c>
      <c r="E15" s="239"/>
      <c r="F15" s="240">
        <v>0</v>
      </c>
      <c r="G15" s="237"/>
      <c r="H15" s="237" t="s">
        <v>52</v>
      </c>
      <c r="I15" s="237"/>
      <c r="J15" s="241"/>
    </row>
    <row r="16" spans="1:10" ht="10.35" customHeight="1" x14ac:dyDescent="0.25">
      <c r="A16" s="236"/>
      <c r="B16" s="237"/>
      <c r="C16" s="237"/>
      <c r="D16" s="238" t="s">
        <v>63</v>
      </c>
      <c r="E16" s="239"/>
      <c r="F16" s="240">
        <v>-1</v>
      </c>
      <c r="G16" s="237" t="s">
        <v>52</v>
      </c>
      <c r="H16" s="237" t="s">
        <v>52</v>
      </c>
      <c r="I16" s="237"/>
      <c r="J16" s="241"/>
    </row>
    <row r="17" spans="1:10" x14ac:dyDescent="0.25">
      <c r="A17" s="236"/>
      <c r="B17" s="24" t="s">
        <v>29</v>
      </c>
      <c r="C17" s="85"/>
      <c r="D17" s="25" t="s">
        <v>18</v>
      </c>
      <c r="E17" s="237"/>
      <c r="F17" s="237"/>
      <c r="G17" s="237"/>
      <c r="H17" s="237"/>
      <c r="I17" s="237"/>
      <c r="J17" s="241"/>
    </row>
    <row r="18" spans="1:10" s="9" customFormat="1" ht="12" x14ac:dyDescent="0.2">
      <c r="A18" s="252"/>
      <c r="B18" s="26" t="str">
        <f>+IF($D$10="Personas Naturales y Sucesiones llíquidas","Declaración y pago",IF($D$10="Grandes contribuyentes","Pago Primera Cuota","Declaración y Pago Primera Cuota"))</f>
        <v>Declaración y Pago Primera Cuota</v>
      </c>
      <c r="C18" s="86"/>
      <c r="D18" s="27">
        <f>+IF($D$10="Personas Naturales y Sucesiones llíquidas",IF($D$8=0,'DR 2345 Plazos'!$D$110,VLOOKUP($D$8,'DR 2345 Plazos'!$A$110:$D$159,4,1)),IF($D$10="Grandes contribuyentes",VLOOKUP($D$8,'DR 2345 Plazos'!$A$24:$D$33,4,0),IF($D$8=0,'DR 2345 Plazos'!D88,VLOOKUP($D$8,'DR 2345 Plazos'!$A$68:$D$87,4,1))))</f>
        <v>43963</v>
      </c>
      <c r="E18" s="240"/>
      <c r="F18" s="240">
        <f ca="1">IF(D18="","",+D18-TODAY())</f>
        <v>95</v>
      </c>
      <c r="G18" s="242"/>
      <c r="H18" s="242"/>
      <c r="I18" s="242"/>
      <c r="J18" s="243"/>
    </row>
    <row r="19" spans="1:10" s="9" customFormat="1" ht="12" x14ac:dyDescent="0.2">
      <c r="A19" s="252"/>
      <c r="B19" s="26" t="str">
        <f>+IF($D$10="Personas Naturales y Sucesiones llíquidas","",IF($D$10="Grandes contribuyentes","Declaración y Pago Segunda Cuota","Pago Segunda Cuota"))</f>
        <v>Pago Segunda Cuota</v>
      </c>
      <c r="C19" s="86"/>
      <c r="D19" s="27">
        <f>IF(B19="","",IF(B19="Declaración y Pago Segunda Cuota",VLOOKUP($D$8,'DR 2345 Plazos'!$A$37:$D$46,4,0),VLOOKUP(VALUE(RIGHT($D$8,1)),'DR 2345 Plazos'!$A$91:$D$100,4,0)))</f>
        <v>44006</v>
      </c>
      <c r="E19" s="240"/>
      <c r="F19" s="240">
        <f ca="1">IF(D19="","",+D19-TODAY())</f>
        <v>138</v>
      </c>
      <c r="G19" s="242"/>
      <c r="H19" s="242"/>
      <c r="I19" s="242"/>
      <c r="J19" s="243"/>
    </row>
    <row r="20" spans="1:10" s="9" customFormat="1" ht="12" x14ac:dyDescent="0.2">
      <c r="A20" s="252"/>
      <c r="B20" s="26" t="str">
        <f>+IF($D$10="Personas Naturales y Sucesiones llíquidas","",IF($D$10="Grandes contribuyentes","Pago Tercera Cuota",""))</f>
        <v/>
      </c>
      <c r="C20" s="86"/>
      <c r="D20" s="27" t="str">
        <f>IF(B20="","",VLOOKUP($D$8,'DR 2345 Plazos'!$A$50:$D$59,4,0))</f>
        <v/>
      </c>
      <c r="E20" s="240"/>
      <c r="F20" s="240" t="str">
        <f ca="1">IF(D20="","",+D20-TODAY())</f>
        <v/>
      </c>
      <c r="G20" s="242"/>
      <c r="H20" s="242"/>
      <c r="I20" s="242"/>
      <c r="J20" s="243"/>
    </row>
    <row r="21" spans="1:10" s="9" customFormat="1" ht="12" x14ac:dyDescent="0.2">
      <c r="A21" s="252"/>
      <c r="B21" s="188" t="str">
        <f>+IF($D$10="Personas Naturales y Sucesiones llíquidas","Envío Formato 2517 y activos en el exterior","Envío Formato 2516 y activos en el exterior")</f>
        <v>Envío Formato 2516 y activos en el exterior</v>
      </c>
      <c r="C21" s="87"/>
      <c r="D21" s="303" t="s">
        <v>744</v>
      </c>
      <c r="E21" s="240"/>
      <c r="F21" s="240" t="e">
        <f ca="1">IF(D21="","",+D21-TODAY())</f>
        <v>#VALUE!</v>
      </c>
      <c r="G21" s="242"/>
      <c r="H21" s="242"/>
      <c r="I21" s="242"/>
      <c r="J21" s="243"/>
    </row>
    <row r="22" spans="1:10" ht="9" customHeight="1" x14ac:dyDescent="0.25">
      <c r="A22" s="236"/>
      <c r="B22" s="237"/>
      <c r="C22" s="237"/>
      <c r="D22" s="237"/>
      <c r="E22" s="237"/>
      <c r="F22" s="237"/>
      <c r="G22" s="237"/>
      <c r="H22" s="237"/>
      <c r="I22" s="237"/>
      <c r="J22" s="241"/>
    </row>
    <row r="23" spans="1:10" x14ac:dyDescent="0.25">
      <c r="A23" s="236"/>
      <c r="B23" s="24" t="s">
        <v>283</v>
      </c>
      <c r="C23" s="85"/>
      <c r="D23" s="25" t="s">
        <v>18</v>
      </c>
      <c r="E23" s="240"/>
      <c r="F23" s="240"/>
      <c r="G23" s="237"/>
      <c r="H23" s="237"/>
      <c r="I23" s="237"/>
      <c r="J23" s="241"/>
    </row>
    <row r="24" spans="1:10" s="9" customFormat="1" ht="12" x14ac:dyDescent="0.2">
      <c r="A24" s="252"/>
      <c r="B24" s="26" t="s">
        <v>40</v>
      </c>
      <c r="C24" s="86"/>
      <c r="D24" s="27">
        <f>+VLOOKUP(VALUE(RIGHT($D$8,1)),'DR 2345 Plazos'!$A$400:$O$409,4,0)</f>
        <v>43885</v>
      </c>
      <c r="E24" s="240"/>
      <c r="F24" s="240">
        <f t="shared" ref="F24:F36" ca="1" si="0">IF(D24="","",+D24-TODAY())</f>
        <v>17</v>
      </c>
      <c r="G24" s="242"/>
      <c r="H24" s="242"/>
      <c r="I24" s="242"/>
      <c r="J24" s="243"/>
    </row>
    <row r="25" spans="1:10" s="9" customFormat="1" ht="12" x14ac:dyDescent="0.2">
      <c r="A25" s="252"/>
      <c r="B25" s="26" t="s">
        <v>41</v>
      </c>
      <c r="C25" s="86"/>
      <c r="D25" s="27">
        <f>+VLOOKUP(VALUE(RIGHT($D$8,1)),'DR 2345 Plazos'!$A$400:$O$409,5,0)</f>
        <v>43914</v>
      </c>
      <c r="E25" s="240"/>
      <c r="F25" s="240">
        <f t="shared" ca="1" si="0"/>
        <v>46</v>
      </c>
      <c r="G25" s="242"/>
      <c r="H25" s="242"/>
      <c r="I25" s="242"/>
      <c r="J25" s="243"/>
    </row>
    <row r="26" spans="1:10" s="9" customFormat="1" ht="12" x14ac:dyDescent="0.2">
      <c r="A26" s="252"/>
      <c r="B26" s="26" t="s">
        <v>42</v>
      </c>
      <c r="C26" s="86"/>
      <c r="D26" s="27">
        <f>+VLOOKUP(VALUE(RIGHT($D$8,1)),'DR 2345 Plazos'!$A$400:$O$409,6,0)</f>
        <v>43948</v>
      </c>
      <c r="E26" s="240"/>
      <c r="F26" s="240">
        <f t="shared" ca="1" si="0"/>
        <v>80</v>
      </c>
      <c r="G26" s="242"/>
      <c r="H26" s="242"/>
      <c r="I26" s="242"/>
      <c r="J26" s="243"/>
    </row>
    <row r="27" spans="1:10" s="9" customFormat="1" ht="12" x14ac:dyDescent="0.2">
      <c r="A27" s="252"/>
      <c r="B27" s="26" t="s">
        <v>356</v>
      </c>
      <c r="C27" s="86"/>
      <c r="D27" s="27">
        <f>+VLOOKUP(VALUE(RIGHT($D$8,1)),'DR 2345 Plazos'!$A$400:$O$409,7,0)</f>
        <v>43977</v>
      </c>
      <c r="E27" s="240"/>
      <c r="F27" s="240">
        <f t="shared" ca="1" si="0"/>
        <v>109</v>
      </c>
      <c r="G27" s="242"/>
      <c r="H27" s="242"/>
      <c r="I27" s="242"/>
      <c r="J27" s="243"/>
    </row>
    <row r="28" spans="1:10" s="9" customFormat="1" ht="12" x14ac:dyDescent="0.2">
      <c r="A28" s="252"/>
      <c r="B28" s="26" t="s">
        <v>43</v>
      </c>
      <c r="C28" s="86"/>
      <c r="D28" s="27">
        <f>+VLOOKUP(VALUE(RIGHT($D$8,1)),'DR 2345 Plazos'!$A$400:$O$409,8,0)</f>
        <v>44006</v>
      </c>
      <c r="E28" s="240"/>
      <c r="F28" s="240">
        <f t="shared" ca="1" si="0"/>
        <v>138</v>
      </c>
      <c r="G28" s="242"/>
      <c r="H28" s="242"/>
      <c r="I28" s="242"/>
      <c r="J28" s="243"/>
    </row>
    <row r="29" spans="1:10" s="9" customFormat="1" ht="12" x14ac:dyDescent="0.2">
      <c r="A29" s="252"/>
      <c r="B29" s="26" t="s">
        <v>44</v>
      </c>
      <c r="C29" s="86"/>
      <c r="D29" s="27">
        <f>+VLOOKUP(VALUE(RIGHT($D$8,1)),'DR 2345 Plazos'!$A$400:$O$409,9,0)</f>
        <v>44033</v>
      </c>
      <c r="E29" s="240"/>
      <c r="F29" s="240">
        <f t="shared" ca="1" si="0"/>
        <v>165</v>
      </c>
      <c r="G29" s="242"/>
      <c r="H29" s="242"/>
      <c r="I29" s="242"/>
      <c r="J29" s="243"/>
    </row>
    <row r="30" spans="1:10" s="9" customFormat="1" ht="12" x14ac:dyDescent="0.2">
      <c r="A30" s="252"/>
      <c r="B30" s="26" t="s">
        <v>45</v>
      </c>
      <c r="C30" s="86"/>
      <c r="D30" s="27">
        <f>+VLOOKUP(VALUE(RIGHT($D$8,1)),'DR 2345 Plazos'!$A$400:$O$409,10,0)</f>
        <v>44068</v>
      </c>
      <c r="E30" s="240"/>
      <c r="F30" s="240">
        <f t="shared" ca="1" si="0"/>
        <v>200</v>
      </c>
      <c r="G30" s="242"/>
      <c r="H30" s="242"/>
      <c r="I30" s="242"/>
      <c r="J30" s="243"/>
    </row>
    <row r="31" spans="1:10" s="9" customFormat="1" ht="12" x14ac:dyDescent="0.2">
      <c r="A31" s="252"/>
      <c r="B31" s="26" t="s">
        <v>357</v>
      </c>
      <c r="C31" s="86"/>
      <c r="D31" s="27">
        <f>+VLOOKUP(VALUE(RIGHT($D$8,1)),'DR 2345 Plazos'!$A$400:$O$409,11,0)</f>
        <v>44095</v>
      </c>
      <c r="E31" s="240"/>
      <c r="F31" s="240">
        <f t="shared" ca="1" si="0"/>
        <v>227</v>
      </c>
      <c r="G31" s="242"/>
      <c r="H31" s="242"/>
      <c r="I31" s="242"/>
      <c r="J31" s="243"/>
    </row>
    <row r="32" spans="1:10" s="9" customFormat="1" ht="12" x14ac:dyDescent="0.2">
      <c r="A32" s="252"/>
      <c r="B32" s="26" t="s">
        <v>46</v>
      </c>
      <c r="C32" s="86"/>
      <c r="D32" s="27">
        <f>+VLOOKUP(VALUE(RIGHT($D$8,1)),'DR 2345 Plazos'!$A$400:$O$409,12,0)</f>
        <v>44124</v>
      </c>
      <c r="E32" s="240"/>
      <c r="F32" s="240">
        <f t="shared" ca="1" si="0"/>
        <v>256</v>
      </c>
      <c r="G32" s="242"/>
      <c r="H32" s="242"/>
      <c r="I32" s="242"/>
      <c r="J32" s="243"/>
    </row>
    <row r="33" spans="1:10" s="9" customFormat="1" ht="12" x14ac:dyDescent="0.2">
      <c r="A33" s="252"/>
      <c r="B33" s="26" t="s">
        <v>47</v>
      </c>
      <c r="C33" s="86"/>
      <c r="D33" s="27">
        <f>+VLOOKUP(VALUE(RIGHT($D$8,1)),'DR 2345 Plazos'!$A$400:$O$409,13,0)</f>
        <v>44159</v>
      </c>
      <c r="E33" s="240"/>
      <c r="F33" s="240">
        <f t="shared" ca="1" si="0"/>
        <v>291</v>
      </c>
      <c r="G33" s="242"/>
      <c r="H33" s="242"/>
      <c r="I33" s="242"/>
      <c r="J33" s="243"/>
    </row>
    <row r="34" spans="1:10" s="9" customFormat="1" ht="12" x14ac:dyDescent="0.2">
      <c r="A34" s="252"/>
      <c r="B34" s="26" t="s">
        <v>48</v>
      </c>
      <c r="C34" s="86"/>
      <c r="D34" s="27">
        <f>+VLOOKUP(VALUE(RIGHT($D$8,1)),'DR 2345 Plazos'!$A$400:$O$409,14,0)</f>
        <v>44188</v>
      </c>
      <c r="E34" s="240"/>
      <c r="F34" s="240">
        <f t="shared" ca="1" si="0"/>
        <v>320</v>
      </c>
      <c r="G34" s="242"/>
      <c r="H34" s="242"/>
      <c r="I34" s="242"/>
      <c r="J34" s="243"/>
    </row>
    <row r="35" spans="1:10" s="9" customFormat="1" ht="12" x14ac:dyDescent="0.2">
      <c r="A35" s="252"/>
      <c r="B35" s="26" t="s">
        <v>358</v>
      </c>
      <c r="C35" s="86"/>
      <c r="D35" s="27">
        <f>+VLOOKUP(VALUE(RIGHT($D$8,1)),'DR 2345 Plazos'!$A$400:$O$409,15,0)</f>
        <v>44222</v>
      </c>
      <c r="E35" s="240"/>
      <c r="F35" s="240">
        <f t="shared" ca="1" si="0"/>
        <v>354</v>
      </c>
      <c r="G35" s="242"/>
      <c r="H35" s="242"/>
      <c r="I35" s="242"/>
      <c r="J35" s="243"/>
    </row>
    <row r="36" spans="1:10" s="9" customFormat="1" ht="12" x14ac:dyDescent="0.2">
      <c r="A36" s="252"/>
      <c r="B36" s="170" t="s">
        <v>709</v>
      </c>
      <c r="C36" s="171"/>
      <c r="D36" s="172">
        <v>43921</v>
      </c>
      <c r="E36" s="240"/>
      <c r="F36" s="240">
        <f t="shared" ca="1" si="0"/>
        <v>53</v>
      </c>
      <c r="G36" s="242"/>
      <c r="H36" s="242"/>
      <c r="I36" s="242"/>
      <c r="J36" s="243"/>
    </row>
    <row r="37" spans="1:10" ht="9" customHeight="1" x14ac:dyDescent="0.25">
      <c r="A37" s="236"/>
      <c r="B37" s="237"/>
      <c r="C37" s="237"/>
      <c r="D37" s="237"/>
      <c r="E37" s="237"/>
      <c r="F37" s="237"/>
      <c r="G37" s="237"/>
      <c r="H37" s="237"/>
      <c r="I37" s="237"/>
      <c r="J37" s="241"/>
    </row>
    <row r="38" spans="1:10" x14ac:dyDescent="0.25">
      <c r="A38" s="236"/>
      <c r="B38" s="24" t="s">
        <v>109</v>
      </c>
      <c r="C38" s="85"/>
      <c r="D38" s="25" t="s">
        <v>18</v>
      </c>
      <c r="E38" s="240"/>
      <c r="F38" s="240"/>
      <c r="G38" s="237"/>
      <c r="H38" s="237"/>
      <c r="I38" s="237"/>
      <c r="J38" s="241"/>
    </row>
    <row r="39" spans="1:10" s="9" customFormat="1" ht="12" x14ac:dyDescent="0.2">
      <c r="A39" s="252"/>
      <c r="B39" s="62" t="str">
        <f>IF(OR($D$10="Grandes Contribuyentes",D11=1),"Bimestre Enero - Febrero",IF(D11=2,"Cuatrimestre Enero - Abril","1er anticipo 30% Ivas pagados año anterior"))</f>
        <v>Bimestre Enero - Febrero</v>
      </c>
      <c r="C39" s="62"/>
      <c r="D39" s="27">
        <f>+VLOOKUP(VALUE(RIGHT($D$8,1)),'DR 2345 Plazos'!$A$358:$I$367,IF(OR(D10="Grandes Contribuyentes",D11=1),4,5),0)</f>
        <v>43914</v>
      </c>
      <c r="E39" s="240"/>
      <c r="F39" s="240">
        <f t="shared" ref="F39:F44" ca="1" si="1">IF(D39="","",+D39-TODAY())</f>
        <v>46</v>
      </c>
      <c r="G39" s="242"/>
      <c r="H39" s="242"/>
      <c r="I39" s="242"/>
      <c r="J39" s="243"/>
    </row>
    <row r="40" spans="1:10" s="9" customFormat="1" ht="12" x14ac:dyDescent="0.2">
      <c r="A40" s="252"/>
      <c r="B40" s="62" t="str">
        <f>IF(OR($D$10="Grandes Contribuyentes",D11=1),"Bimestre Marzo - Abril",IF(D11=2,"Cuatrimestre Mayo - Agosto","2do anticipo 30% Ivas pagados año anterior"))</f>
        <v>Bimestre Marzo - Abril</v>
      </c>
      <c r="C40" s="62"/>
      <c r="D40" s="27">
        <f>+VLOOKUP(VALUE(RIGHT($D$8,1)),'DR 2345 Plazos'!$A$358:$I$367,IF(OR(D10="Grandes Contribuyentes",D11=1),5,7),0)</f>
        <v>43977</v>
      </c>
      <c r="E40" s="240"/>
      <c r="F40" s="240">
        <f t="shared" ca="1" si="1"/>
        <v>109</v>
      </c>
      <c r="G40" s="242"/>
      <c r="H40" s="242"/>
      <c r="I40" s="242"/>
      <c r="J40" s="243"/>
    </row>
    <row r="41" spans="1:10" s="9" customFormat="1" ht="12" x14ac:dyDescent="0.2">
      <c r="A41" s="252"/>
      <c r="B41" s="62" t="str">
        <f>IF(OR($D$10="Grandes Contribuyentes",D11=1),"Bimestre Mayo - Junio",IF(D11=2,"Cuatrimestre Septiembre - Diciembre","Declaración anual y pago saldo de impuesto realmente generado"))</f>
        <v>Bimestre Mayo - Junio</v>
      </c>
      <c r="C41" s="62"/>
      <c r="D41" s="27">
        <f>+VLOOKUP(VALUE(RIGHT($D$8,1)),'DR 2345 Plazos'!$A$358:$I$367,IF(OR(D10="Grandes Contribuyentes",D11=1),6,9),0)</f>
        <v>44033</v>
      </c>
      <c r="E41" s="240"/>
      <c r="F41" s="240">
        <f t="shared" ca="1" si="1"/>
        <v>165</v>
      </c>
      <c r="G41" s="242"/>
      <c r="H41" s="242"/>
      <c r="I41" s="242"/>
      <c r="J41" s="243"/>
    </row>
    <row r="42" spans="1:10" s="9" customFormat="1" ht="12" x14ac:dyDescent="0.2">
      <c r="A42" s="252"/>
      <c r="B42" s="62" t="str">
        <f>IF(OR($D$10="Grandes Contribuyentes",D11=1),"Bimestre Julio - Agosto","")</f>
        <v>Bimestre Julio - Agosto</v>
      </c>
      <c r="C42" s="62"/>
      <c r="D42" s="27">
        <f>IF(OR($D$10="Grandes Contribuyentes",D11=1),VLOOKUP(VALUE(RIGHT($D$8,1)),'DR 2345 Plazos'!$A$358:$I$367,7,0),"")</f>
        <v>44095</v>
      </c>
      <c r="E42" s="240"/>
      <c r="F42" s="240">
        <f t="shared" ca="1" si="1"/>
        <v>227</v>
      </c>
      <c r="G42" s="242"/>
      <c r="H42" s="242"/>
      <c r="I42" s="242"/>
      <c r="J42" s="243"/>
    </row>
    <row r="43" spans="1:10" s="9" customFormat="1" ht="12" x14ac:dyDescent="0.2">
      <c r="A43" s="252"/>
      <c r="B43" s="62" t="str">
        <f>IF(OR($D$10="Grandes Contribuyentes",D11=1),"Bimestre Septiembre - Octubre","")</f>
        <v>Bimestre Septiembre - Octubre</v>
      </c>
      <c r="C43" s="62"/>
      <c r="D43" s="27">
        <f>IF(OR($D$10="Grandes Contribuyentes",D11=1),VLOOKUP(VALUE(RIGHT($D$8,1)),'DR 2345 Plazos'!$A$358:$I$367,8,0),"")</f>
        <v>44159</v>
      </c>
      <c r="E43" s="240"/>
      <c r="F43" s="240">
        <f t="shared" ca="1" si="1"/>
        <v>291</v>
      </c>
      <c r="G43" s="242"/>
      <c r="H43" s="242"/>
      <c r="I43" s="242"/>
      <c r="J43" s="243"/>
    </row>
    <row r="44" spans="1:10" s="9" customFormat="1" ht="12" x14ac:dyDescent="0.2">
      <c r="A44" s="252"/>
      <c r="B44" s="62" t="str">
        <f>IF(OR($D$10="Grandes Contribuyentes",D11=1),"Bimestre Noviembre - Diciembre","")</f>
        <v>Bimestre Noviembre - Diciembre</v>
      </c>
      <c r="C44" s="62"/>
      <c r="D44" s="27">
        <f>IF(OR($D$10="Grandes Contribuyentes",D11=1),VLOOKUP(VALUE(RIGHT($D$8,1)),'DR 2345 Plazos'!$A$358:$I$367,9,0),"")</f>
        <v>44222</v>
      </c>
      <c r="E44" s="240"/>
      <c r="F44" s="240">
        <f t="shared" ca="1" si="1"/>
        <v>354</v>
      </c>
      <c r="G44" s="242"/>
      <c r="H44" s="242"/>
      <c r="I44" s="242"/>
      <c r="J44" s="243"/>
    </row>
    <row r="45" spans="1:10" s="9" customFormat="1" ht="12" x14ac:dyDescent="0.2">
      <c r="A45" s="252"/>
      <c r="B45" s="64" t="s">
        <v>710</v>
      </c>
      <c r="C45" s="88"/>
      <c r="D45" s="65" t="s">
        <v>89</v>
      </c>
      <c r="E45" s="240"/>
      <c r="F45" s="240"/>
      <c r="G45" s="242"/>
      <c r="H45" s="242"/>
      <c r="I45" s="242"/>
      <c r="J45" s="243"/>
    </row>
    <row r="46" spans="1:10" s="71" customFormat="1" ht="9" customHeight="1" x14ac:dyDescent="0.25">
      <c r="A46" s="236"/>
      <c r="B46" s="237"/>
      <c r="C46" s="237"/>
      <c r="D46" s="237"/>
      <c r="E46" s="237"/>
      <c r="F46" s="237"/>
      <c r="G46" s="237"/>
      <c r="H46" s="237"/>
      <c r="I46" s="237"/>
      <c r="J46" s="241"/>
    </row>
    <row r="47" spans="1:10" s="71" customFormat="1" x14ac:dyDescent="0.25">
      <c r="A47" s="236"/>
      <c r="B47" s="24" t="s">
        <v>108</v>
      </c>
      <c r="C47" s="85"/>
      <c r="D47" s="180" t="s">
        <v>603</v>
      </c>
      <c r="E47" s="244" t="s">
        <v>603</v>
      </c>
      <c r="F47" s="240"/>
      <c r="G47" s="237"/>
      <c r="H47" s="237"/>
      <c r="I47" s="237"/>
      <c r="J47" s="241"/>
    </row>
    <row r="48" spans="1:10" s="9" customFormat="1" ht="12" x14ac:dyDescent="0.2">
      <c r="A48" s="252"/>
      <c r="B48" s="62" t="str">
        <f>IF(D47="Responsable de Imp al Consumo","Bimestre Enero - Febrero","Ya no se presenta la declaración simplificada")</f>
        <v>Bimestre Enero - Febrero</v>
      </c>
      <c r="C48" s="62"/>
      <c r="D48" s="27">
        <f>IF(D47="Responsable de Imp al Consumo",VLOOKUP(VALUE(RIGHT($D$8,1)),'DR 2345 Plazos'!$A$358:$I$367,4,0),VLOOKUP(VALUE(RIGHT($D$8,1)),'DR 2345 Plazos'!A386:D395,4,0))</f>
        <v>43914</v>
      </c>
      <c r="E48" s="244" t="s">
        <v>604</v>
      </c>
      <c r="F48" s="240">
        <f t="shared" ref="F48:F53" ca="1" si="2">IF(D48="","",+D48-TODAY())</f>
        <v>46</v>
      </c>
      <c r="G48" s="242"/>
      <c r="H48" s="242"/>
      <c r="I48" s="242"/>
      <c r="J48" s="243"/>
    </row>
    <row r="49" spans="1:10" s="9" customFormat="1" ht="12" x14ac:dyDescent="0.2">
      <c r="A49" s="252"/>
      <c r="B49" s="62" t="str">
        <f>IF(D47="Responsable de Imp al Consumo","Bimestre Marzo - Abril","")</f>
        <v>Bimestre Marzo - Abril</v>
      </c>
      <c r="C49" s="62"/>
      <c r="D49" s="27">
        <f>IF(D47="Responsable de Imp al Consumo",VLOOKUP(VALUE(RIGHT($D$8,1)),'DR 2345 Plazos'!$A$358:$I$367,5,0),"")</f>
        <v>43977</v>
      </c>
      <c r="E49" s="240"/>
      <c r="F49" s="240">
        <f t="shared" ca="1" si="2"/>
        <v>109</v>
      </c>
      <c r="G49" s="242"/>
      <c r="H49" s="242"/>
      <c r="I49" s="242"/>
      <c r="J49" s="243"/>
    </row>
    <row r="50" spans="1:10" s="9" customFormat="1" ht="12" x14ac:dyDescent="0.2">
      <c r="A50" s="252"/>
      <c r="B50" s="62" t="str">
        <f>IF(D47="Responsable de Imp al Consumo","Bimestre Mayo - Junio","")</f>
        <v>Bimestre Mayo - Junio</v>
      </c>
      <c r="C50" s="62"/>
      <c r="D50" s="27">
        <f>IF(D47="Responsable de Imp al Consumo",VLOOKUP(VALUE(RIGHT($D$8,1)),'DR 2345 Plazos'!$A$358:$I$367,6,0),"")</f>
        <v>44033</v>
      </c>
      <c r="E50" s="240"/>
      <c r="F50" s="240">
        <f t="shared" ca="1" si="2"/>
        <v>165</v>
      </c>
      <c r="G50" s="242"/>
      <c r="H50" s="242"/>
      <c r="I50" s="242"/>
      <c r="J50" s="243"/>
    </row>
    <row r="51" spans="1:10" s="9" customFormat="1" ht="12" x14ac:dyDescent="0.2">
      <c r="A51" s="252"/>
      <c r="B51" s="62" t="str">
        <f>IF(D47="Responsable de Imp al Consumo","Bimestre Julio - Agosto","")</f>
        <v>Bimestre Julio - Agosto</v>
      </c>
      <c r="C51" s="62"/>
      <c r="D51" s="27">
        <f>IF(D47="Responsable de Imp al Consumo",VLOOKUP(VALUE(RIGHT($D$8,1)),'DR 2345 Plazos'!$A$358:$I$367,7,0),"")</f>
        <v>44095</v>
      </c>
      <c r="E51" s="240"/>
      <c r="F51" s="240">
        <f t="shared" ca="1" si="2"/>
        <v>227</v>
      </c>
      <c r="G51" s="242"/>
      <c r="H51" s="242"/>
      <c r="I51" s="242"/>
      <c r="J51" s="243"/>
    </row>
    <row r="52" spans="1:10" s="9" customFormat="1" ht="12" x14ac:dyDescent="0.2">
      <c r="A52" s="252"/>
      <c r="B52" s="62" t="str">
        <f>IF(D47="Responsable de Imp al Consumo","Bimestre Septiembre - Octubre","")</f>
        <v>Bimestre Septiembre - Octubre</v>
      </c>
      <c r="C52" s="62"/>
      <c r="D52" s="27">
        <f>IF(D47="Responsable de Imp al Consumo",VLOOKUP(VALUE(RIGHT($D$8,1)),'DR 2345 Plazos'!$A$358:$I$367,8,0),"")</f>
        <v>44159</v>
      </c>
      <c r="E52" s="240"/>
      <c r="F52" s="240">
        <f t="shared" ca="1" si="2"/>
        <v>291</v>
      </c>
      <c r="G52" s="242"/>
      <c r="H52" s="242"/>
      <c r="I52" s="242"/>
      <c r="J52" s="243"/>
    </row>
    <row r="53" spans="1:10" s="9" customFormat="1" ht="12" x14ac:dyDescent="0.2">
      <c r="A53" s="252"/>
      <c r="B53" s="62" t="str">
        <f>IF(D47="Responsable de Imp al Consumo","Bimestre Noviembre - Diciembre","")</f>
        <v>Bimestre Noviembre - Diciembre</v>
      </c>
      <c r="C53" s="62"/>
      <c r="D53" s="27">
        <f>IF(D47="Responsable de Imp al Consumo",VLOOKUP(VALUE(RIGHT($D$8,1)),'DR 2345 Plazos'!$A$358:$I$367,9,0),"")</f>
        <v>44222</v>
      </c>
      <c r="E53" s="240"/>
      <c r="F53" s="240">
        <f t="shared" ca="1" si="2"/>
        <v>354</v>
      </c>
      <c r="G53" s="242"/>
      <c r="H53" s="242"/>
      <c r="I53" s="242"/>
      <c r="J53" s="243"/>
    </row>
    <row r="54" spans="1:10" ht="9" customHeight="1" x14ac:dyDescent="0.25">
      <c r="A54" s="236"/>
      <c r="B54" s="237"/>
      <c r="C54" s="237"/>
      <c r="D54" s="237"/>
      <c r="E54" s="237"/>
      <c r="F54" s="237"/>
      <c r="G54" s="237"/>
      <c r="H54" s="237"/>
      <c r="I54" s="237"/>
      <c r="J54" s="241"/>
    </row>
    <row r="55" spans="1:10" x14ac:dyDescent="0.25">
      <c r="A55" s="236"/>
      <c r="B55" s="24" t="str">
        <f>IF(D55="Bogotá","Industria y comercio del municipio de:","Plazos Reteica y Autorretención del municipio de:")</f>
        <v>Plazos Reteica y Autorretención del municipio de:</v>
      </c>
      <c r="C55" s="85"/>
      <c r="D55" s="48" t="s">
        <v>72</v>
      </c>
      <c r="E55" s="240"/>
      <c r="F55" s="240"/>
      <c r="G55" s="237"/>
      <c r="H55" s="245" t="s">
        <v>72</v>
      </c>
      <c r="I55" s="237"/>
      <c r="J55" s="241"/>
    </row>
    <row r="56" spans="1:10" s="9" customFormat="1" x14ac:dyDescent="0.25">
      <c r="A56" s="252"/>
      <c r="B56" s="62" t="str">
        <f>IF($D$55="Cali",Sicali!B21,"Bimestre Enero -Febrero")</f>
        <v>Bimestre Enero -Febrero</v>
      </c>
      <c r="C56" s="89" t="e">
        <f t="shared" ref="C56:C61" ca="1" si="3">IF(B56="","",+B56-TODAY())</f>
        <v>#VALUE!</v>
      </c>
      <c r="D56" s="27">
        <f>VLOOKUP(VALUE(RIGHT($D$6,1)),Cúcuta!$A$8:$G$17,2,0)</f>
        <v>43914</v>
      </c>
      <c r="E56" s="240"/>
      <c r="F56" s="240">
        <f t="shared" ref="F56:F61" ca="1" si="4">IF(D56="","",+D56-TODAY())</f>
        <v>46</v>
      </c>
      <c r="G56" s="237"/>
      <c r="H56" s="246" t="s">
        <v>73</v>
      </c>
      <c r="I56" s="242"/>
      <c r="J56" s="243"/>
    </row>
    <row r="57" spans="1:10" s="9" customFormat="1" x14ac:dyDescent="0.25">
      <c r="A57" s="252"/>
      <c r="B57" s="62" t="str">
        <f>IF($D$55="Cali",Sicali!B22,"Bimestre Marzo - Abril")</f>
        <v>Bimestre Marzo - Abril</v>
      </c>
      <c r="C57" s="89" t="e">
        <f t="shared" ca="1" si="3"/>
        <v>#VALUE!</v>
      </c>
      <c r="D57" s="27">
        <f>VLOOKUP(VALUE(RIGHT($D$6,1)),Cúcuta!$A$8:$G$17,3,0)</f>
        <v>43977</v>
      </c>
      <c r="E57" s="240"/>
      <c r="F57" s="240">
        <f t="shared" ca="1" si="4"/>
        <v>109</v>
      </c>
      <c r="G57" s="237"/>
      <c r="H57" s="246" t="s">
        <v>87</v>
      </c>
      <c r="I57" s="242"/>
      <c r="J57" s="243"/>
    </row>
    <row r="58" spans="1:10" s="9" customFormat="1" ht="12" x14ac:dyDescent="0.2">
      <c r="A58" s="252"/>
      <c r="B58" s="62" t="str">
        <f>IF($D$55="Cali",Sicali!B23,"Bimestre Mayo - Junio")</f>
        <v>Bimestre Mayo - Junio</v>
      </c>
      <c r="C58" s="89" t="e">
        <f t="shared" ca="1" si="3"/>
        <v>#VALUE!</v>
      </c>
      <c r="D58" s="27">
        <f>VLOOKUP(VALUE(RIGHT($D$6,1)),Cúcuta!$A$8:$G$17,4,0)</f>
        <v>44033</v>
      </c>
      <c r="E58" s="240"/>
      <c r="F58" s="240">
        <f t="shared" ca="1" si="4"/>
        <v>165</v>
      </c>
      <c r="G58" s="242"/>
      <c r="H58" s="242"/>
      <c r="I58" s="242"/>
      <c r="J58" s="243"/>
    </row>
    <row r="59" spans="1:10" s="9" customFormat="1" ht="12" x14ac:dyDescent="0.2">
      <c r="A59" s="252"/>
      <c r="B59" s="62" t="str">
        <f>IF($D$55="Cali",Sicali!B24,"Bimestre Julio - Agosto")</f>
        <v>Bimestre Julio - Agosto</v>
      </c>
      <c r="C59" s="89" t="e">
        <f t="shared" ca="1" si="3"/>
        <v>#VALUE!</v>
      </c>
      <c r="D59" s="27">
        <f>VLOOKUP(VALUE(RIGHT($D$6,1)),Cúcuta!$A$8:$G$17,5,0)</f>
        <v>44095</v>
      </c>
      <c r="E59" s="240"/>
      <c r="F59" s="240">
        <f t="shared" ca="1" si="4"/>
        <v>227</v>
      </c>
      <c r="G59" s="242"/>
      <c r="H59" s="242"/>
      <c r="I59" s="242"/>
      <c r="J59" s="243"/>
    </row>
    <row r="60" spans="1:10" s="9" customFormat="1" ht="12" x14ac:dyDescent="0.2">
      <c r="A60" s="252"/>
      <c r="B60" s="62" t="str">
        <f>IF($D$55="Cali",Sicali!B25,"Bimestre Septiembre - Octubre")</f>
        <v>Bimestre Septiembre - Octubre</v>
      </c>
      <c r="C60" s="89" t="e">
        <f t="shared" ca="1" si="3"/>
        <v>#VALUE!</v>
      </c>
      <c r="D60" s="27">
        <f>VLOOKUP(VALUE(RIGHT($D$6,1)),Cúcuta!$A$8:$G$17,6,0)</f>
        <v>44159</v>
      </c>
      <c r="E60" s="240"/>
      <c r="F60" s="240">
        <f t="shared" ca="1" si="4"/>
        <v>291</v>
      </c>
      <c r="G60" s="242"/>
      <c r="H60" s="242"/>
      <c r="I60" s="242"/>
      <c r="J60" s="243"/>
    </row>
    <row r="61" spans="1:10" s="9" customFormat="1" ht="12" x14ac:dyDescent="0.2">
      <c r="A61" s="252"/>
      <c r="B61" s="62" t="str">
        <f>IF($D$55="Cali",Sicali!B26,"Bimestre Noviembre - Diciembre")</f>
        <v>Bimestre Noviembre - Diciembre</v>
      </c>
      <c r="C61" s="89" t="e">
        <f t="shared" ca="1" si="3"/>
        <v>#VALUE!</v>
      </c>
      <c r="D61" s="27">
        <f>VLOOKUP(VALUE(RIGHT($D$6,1)),Cúcuta!$A$8:$G$17,7,0)</f>
        <v>44222</v>
      </c>
      <c r="E61" s="240"/>
      <c r="F61" s="240">
        <f t="shared" ca="1" si="4"/>
        <v>354</v>
      </c>
      <c r="G61" s="242"/>
      <c r="H61" s="242"/>
      <c r="I61" s="242"/>
      <c r="J61" s="243"/>
    </row>
    <row r="62" spans="1:10" s="9" customFormat="1" ht="12" x14ac:dyDescent="0.2">
      <c r="A62" s="252"/>
      <c r="B62" s="329" t="str">
        <f>+IF(AND(D10="Personas Naturales y Sucesiones llíquidas",D55="Bogotá"),"Personas del Rég Simplif deben declarar y pagar su imp 2013 hasta el día 19/02/2014 y para el del 2012 hasta el 19/02/2013",IF(D55="Cúcuta","Presentación y pago oportuno de la declaración de industria y comercio hasta el 31 de mayo de 2020",""))</f>
        <v>Presentación y pago oportuno de la declaración de industria y comercio hasta el 31 de mayo de 2020</v>
      </c>
      <c r="C62" s="330"/>
      <c r="D62" s="331"/>
      <c r="E62" s="240"/>
      <c r="F62" s="240"/>
      <c r="G62" s="242"/>
      <c r="H62" s="242"/>
      <c r="I62" s="242"/>
      <c r="J62" s="243"/>
    </row>
    <row r="63" spans="1:10" x14ac:dyDescent="0.25">
      <c r="A63" s="236"/>
      <c r="B63" s="237"/>
      <c r="C63" s="237"/>
      <c r="D63" s="237"/>
      <c r="E63" s="237"/>
      <c r="F63" s="237"/>
      <c r="G63" s="237"/>
      <c r="H63" s="237"/>
      <c r="I63" s="237"/>
      <c r="J63" s="241"/>
    </row>
    <row r="64" spans="1:10" x14ac:dyDescent="0.25">
      <c r="A64" s="236"/>
      <c r="B64" s="24" t="s">
        <v>32</v>
      </c>
      <c r="C64" s="85"/>
      <c r="D64" s="30"/>
      <c r="E64" s="237"/>
      <c r="F64" s="237"/>
      <c r="G64" s="237"/>
      <c r="H64" s="237"/>
      <c r="I64" s="237"/>
      <c r="J64" s="241"/>
    </row>
    <row r="65" spans="1:10" s="9" customFormat="1" ht="12" x14ac:dyDescent="0.2">
      <c r="A65" s="252"/>
      <c r="B65" s="26" t="s">
        <v>202</v>
      </c>
      <c r="C65" s="86"/>
      <c r="D65" s="27">
        <f>+VLOOKUP(VALUE(RIGHT($D$8,1)),'DR 2345 Plazos'!$A$316:$D$325,4,0)</f>
        <v>44033</v>
      </c>
      <c r="E65" s="240"/>
      <c r="F65" s="240">
        <f ca="1">IF(D65="","",+D65-TODAY())</f>
        <v>165</v>
      </c>
      <c r="G65" s="242"/>
      <c r="H65" s="242"/>
      <c r="I65" s="242"/>
      <c r="J65" s="243"/>
    </row>
    <row r="66" spans="1:10" s="9" customFormat="1" ht="12" x14ac:dyDescent="0.2">
      <c r="A66" s="252"/>
      <c r="B66" s="26" t="s">
        <v>359</v>
      </c>
      <c r="C66" s="86"/>
      <c r="D66" s="27"/>
      <c r="E66" s="240"/>
      <c r="F66" s="240"/>
      <c r="G66" s="242"/>
      <c r="H66" s="242"/>
      <c r="I66" s="242"/>
      <c r="J66" s="243"/>
    </row>
    <row r="67" spans="1:10" s="9" customFormat="1" ht="12" x14ac:dyDescent="0.2">
      <c r="A67" s="252"/>
      <c r="B67" s="181" t="s">
        <v>360</v>
      </c>
      <c r="C67" s="86"/>
      <c r="D67" s="27">
        <f>+VLOOKUP(VALUE(RIGHT($D$8,1)),'DR 2345 Plazos'!$A$333:$D$342,4,0)</f>
        <v>44033</v>
      </c>
      <c r="E67" s="240"/>
      <c r="F67" s="240">
        <f t="shared" ref="F67:F68" ca="1" si="5">IF(D67="","",+D67-TODAY())</f>
        <v>165</v>
      </c>
      <c r="G67" s="242"/>
      <c r="H67" s="242"/>
      <c r="I67" s="242"/>
      <c r="J67" s="243"/>
    </row>
    <row r="68" spans="1:10" s="9" customFormat="1" ht="12" x14ac:dyDescent="0.2">
      <c r="A68" s="252"/>
      <c r="B68" s="182" t="s">
        <v>361</v>
      </c>
      <c r="C68" s="87"/>
      <c r="D68" s="29">
        <f>+VLOOKUP(VALUE(RIGHT($D$8,1)),'DR 2345 Plazos'!$A$346:$D$355,4,0)</f>
        <v>44188</v>
      </c>
      <c r="E68" s="240"/>
      <c r="F68" s="240">
        <f t="shared" ca="1" si="5"/>
        <v>320</v>
      </c>
      <c r="G68" s="242"/>
      <c r="H68" s="242"/>
      <c r="I68" s="242"/>
      <c r="J68" s="243"/>
    </row>
    <row r="69" spans="1:10" ht="9" customHeight="1" x14ac:dyDescent="0.25">
      <c r="A69" s="236"/>
      <c r="B69" s="237"/>
      <c r="C69" s="237"/>
      <c r="D69" s="237"/>
      <c r="E69" s="237"/>
      <c r="F69" s="237"/>
      <c r="G69" s="237"/>
      <c r="H69" s="237"/>
      <c r="I69" s="237"/>
      <c r="J69" s="241"/>
    </row>
    <row r="70" spans="1:10" x14ac:dyDescent="0.25">
      <c r="A70" s="236"/>
      <c r="B70" s="24" t="s">
        <v>748</v>
      </c>
      <c r="C70" s="85"/>
      <c r="D70" s="30"/>
      <c r="E70" s="237"/>
      <c r="F70" s="237"/>
      <c r="G70" s="237"/>
      <c r="H70" s="237"/>
      <c r="I70" s="237"/>
      <c r="J70" s="241"/>
    </row>
    <row r="71" spans="1:10" s="9" customFormat="1" ht="12" x14ac:dyDescent="0.2">
      <c r="A71" s="252"/>
      <c r="B71" s="26" t="s">
        <v>753</v>
      </c>
      <c r="C71" s="86"/>
      <c r="D71" s="27">
        <f>VLOOKUP(VALUE(RIGHT($D$8,1)),'DR 2345 Plazos'!A451:D460,4,0)</f>
        <v>44132</v>
      </c>
      <c r="E71" s="240"/>
      <c r="F71" s="240">
        <f ca="1">IF(D71="","",+D71-TODAY())</f>
        <v>264</v>
      </c>
      <c r="G71" s="242"/>
      <c r="H71" s="242"/>
      <c r="I71" s="242"/>
      <c r="J71" s="243"/>
    </row>
    <row r="72" spans="1:10" s="9" customFormat="1" ht="12" x14ac:dyDescent="0.2">
      <c r="A72" s="252"/>
      <c r="B72" s="86" t="s">
        <v>754</v>
      </c>
      <c r="C72" s="86"/>
      <c r="D72" s="62">
        <f>VLOOKUP(VALUE(RIGHT($D$8,1)),'DR 2345 Plazos'!A464:D473,4,0)</f>
        <v>43889</v>
      </c>
      <c r="E72" s="240"/>
      <c r="F72" s="240"/>
      <c r="G72" s="242"/>
      <c r="H72" s="242"/>
      <c r="I72" s="242"/>
      <c r="J72" s="243"/>
    </row>
    <row r="73" spans="1:10" ht="9" customHeight="1" x14ac:dyDescent="0.25">
      <c r="A73" s="236"/>
      <c r="B73" s="237"/>
      <c r="C73" s="237"/>
      <c r="D73" s="237"/>
      <c r="E73" s="237"/>
      <c r="F73" s="237"/>
      <c r="G73" s="237"/>
      <c r="H73" s="237"/>
      <c r="I73" s="237"/>
      <c r="J73" s="241"/>
    </row>
    <row r="74" spans="1:10" x14ac:dyDescent="0.25">
      <c r="A74" s="236"/>
      <c r="B74" s="24" t="s">
        <v>53</v>
      </c>
      <c r="C74" s="85"/>
      <c r="D74" s="25" t="s">
        <v>18</v>
      </c>
      <c r="E74" s="237"/>
      <c r="F74" s="237"/>
      <c r="G74" s="237"/>
      <c r="H74" s="237"/>
      <c r="I74" s="237"/>
      <c r="J74" s="241"/>
    </row>
    <row r="75" spans="1:10" x14ac:dyDescent="0.25">
      <c r="A75" s="236"/>
      <c r="B75" s="28" t="str">
        <f>+IF($D$10="Grandes Contribuyentes","Grandes Contribuyentes:","Personas Jurídicas y Asimiladas y Personas Naturales:")</f>
        <v>Personas Jurídicas y Asimiladas y Personas Naturales:</v>
      </c>
      <c r="C75" s="87"/>
      <c r="D75" s="29">
        <f>+IF($D$10="Grandes Contribuyentes",VLOOKUP($D$8,'Res 11004 de 2018 Exóg '!B7:D16,3,0),IF((VALUE(MID(TEXT($D$6,"000000000000000"),14,2)))=0,'Res 11004 de 2018 Exóg '!D41,VLOOKUP(+VALUE(MID(TEXT(D6,"000000000000000"),14,2)),'Res 11004 de 2018 Exóg '!A21:D40,4,1)))</f>
        <v>43992</v>
      </c>
      <c r="E75" s="240"/>
      <c r="F75" s="240">
        <f ca="1">IF(D75="","",+D75-TODAY())</f>
        <v>124</v>
      </c>
      <c r="G75" s="237"/>
      <c r="H75" s="237"/>
      <c r="I75" s="237"/>
      <c r="J75" s="241"/>
    </row>
    <row r="76" spans="1:10" ht="5.45" customHeight="1" x14ac:dyDescent="0.25">
      <c r="A76" s="236"/>
      <c r="B76" s="237"/>
      <c r="C76" s="237"/>
      <c r="D76" s="237"/>
      <c r="E76" s="237"/>
      <c r="F76" s="237"/>
      <c r="G76" s="237"/>
      <c r="H76" s="237"/>
      <c r="I76" s="237"/>
      <c r="J76" s="241"/>
    </row>
    <row r="77" spans="1:10" s="9" customFormat="1" ht="12" x14ac:dyDescent="0.2">
      <c r="A77" s="252"/>
      <c r="B77" s="242"/>
      <c r="C77" s="242"/>
      <c r="D77" s="242"/>
      <c r="E77" s="242"/>
      <c r="F77" s="242"/>
      <c r="G77" s="242"/>
      <c r="H77" s="242"/>
      <c r="I77" s="242"/>
      <c r="J77" s="247" t="s">
        <v>65</v>
      </c>
    </row>
    <row r="78" spans="1:10" s="45" customFormat="1" ht="11.25" x14ac:dyDescent="0.2">
      <c r="A78" s="253"/>
      <c r="B78" s="248"/>
      <c r="C78" s="248"/>
      <c r="D78" s="248"/>
      <c r="E78" s="248"/>
      <c r="F78" s="248"/>
      <c r="G78" s="248"/>
      <c r="H78" s="248"/>
      <c r="I78" s="248"/>
      <c r="J78" s="249" t="s">
        <v>367</v>
      </c>
    </row>
    <row r="79" spans="1:10" s="9" customFormat="1" ht="12.75" thickBot="1" x14ac:dyDescent="0.25">
      <c r="A79" s="254"/>
      <c r="B79" s="250"/>
      <c r="C79" s="250"/>
      <c r="D79" s="250"/>
      <c r="E79" s="250"/>
      <c r="F79" s="250"/>
      <c r="G79" s="250"/>
      <c r="H79" s="250"/>
      <c r="I79" s="250"/>
      <c r="J79" s="251" t="s">
        <v>204</v>
      </c>
    </row>
    <row r="80" spans="1:10" hidden="1" x14ac:dyDescent="0.25"/>
    <row r="81" hidden="1" x14ac:dyDescent="0.25"/>
    <row r="82" ht="3.6" customHeight="1" x14ac:dyDescent="0.25"/>
    <row r="83" hidden="1" x14ac:dyDescent="0.25"/>
    <row r="84" hidden="1" x14ac:dyDescent="0.25"/>
    <row r="85" hidden="1" x14ac:dyDescent="0.25"/>
    <row r="86" hidden="1" x14ac:dyDescent="0.25"/>
    <row r="87" hidden="1" x14ac:dyDescent="0.25"/>
    <row r="88" hidden="1" x14ac:dyDescent="0.25"/>
    <row r="89" hidden="1" x14ac:dyDescent="0.25"/>
    <row r="90" x14ac:dyDescent="0.25"/>
    <row r="91" x14ac:dyDescent="0.25"/>
  </sheetData>
  <sheetProtection algorithmName="SHA-512" hashValue="4sDK2T2XrolYNybuS+wMn/Mn/feS43sp0mmyOrwH37A1oO3vkXEFb9nYVuP7vgWQwHk9QZ2BWDyy7HAPPrkC3w==" saltValue="CPX7BSpfQSna2JuM8vcfmg==" spinCount="100000" sheet="1" objects="1" scenarios="1"/>
  <mergeCells count="5">
    <mergeCell ref="B2:G2"/>
    <mergeCell ref="D4:H4"/>
    <mergeCell ref="D10:H10"/>
    <mergeCell ref="B62:D62"/>
    <mergeCell ref="B11:B12"/>
  </mergeCells>
  <conditionalFormatting sqref="F18:F21">
    <cfRule type="iconSet" priority="23">
      <iconSet iconSet="3TrafficLights2">
        <cfvo type="percent" val="0"/>
        <cfvo type="num" val="0"/>
        <cfvo type="num" val="1"/>
      </iconSet>
    </cfRule>
  </conditionalFormatting>
  <conditionalFormatting sqref="F14:F16">
    <cfRule type="iconSet" priority="22">
      <iconSet iconSet="3TrafficLights2">
        <cfvo type="percent" val="0"/>
        <cfvo type="num" val="0"/>
        <cfvo type="num" val="1"/>
      </iconSet>
    </cfRule>
  </conditionalFormatting>
  <conditionalFormatting sqref="F55:F62">
    <cfRule type="iconSet" priority="21">
      <iconSet iconSet="3TrafficLights2">
        <cfvo type="percent" val="0"/>
        <cfvo type="num" val="0"/>
        <cfvo type="num" val="1"/>
      </iconSet>
    </cfRule>
  </conditionalFormatting>
  <conditionalFormatting sqref="F65:F68">
    <cfRule type="iconSet" priority="19">
      <iconSet iconSet="3TrafficLights2">
        <cfvo type="percent" val="0"/>
        <cfvo type="num" val="0"/>
        <cfvo type="num" val="1"/>
      </iconSet>
    </cfRule>
  </conditionalFormatting>
  <conditionalFormatting sqref="E18:E21">
    <cfRule type="iconSet" priority="16">
      <iconSet iconSet="3TrafficLights2">
        <cfvo type="percent" val="0"/>
        <cfvo type="num" val="0"/>
        <cfvo type="num" val="1"/>
      </iconSet>
    </cfRule>
  </conditionalFormatting>
  <conditionalFormatting sqref="E55:E62">
    <cfRule type="iconSet" priority="15">
      <iconSet iconSet="3TrafficLights2">
        <cfvo type="percent" val="0"/>
        <cfvo type="num" val="0"/>
        <cfvo type="num" val="1"/>
      </iconSet>
    </cfRule>
  </conditionalFormatting>
  <conditionalFormatting sqref="E65:E68">
    <cfRule type="iconSet" priority="13">
      <iconSet iconSet="3TrafficLights2">
        <cfvo type="percent" val="0"/>
        <cfvo type="num" val="0"/>
        <cfvo type="num" val="1"/>
      </iconSet>
    </cfRule>
  </conditionalFormatting>
  <conditionalFormatting sqref="E75">
    <cfRule type="iconSet" priority="11">
      <iconSet iconSet="3TrafficLights2">
        <cfvo type="percent" val="0"/>
        <cfvo type="num" val="0"/>
        <cfvo type="num" val="1"/>
      </iconSet>
    </cfRule>
  </conditionalFormatting>
  <conditionalFormatting sqref="F23:F53">
    <cfRule type="iconSet" priority="33">
      <iconSet iconSet="3TrafficLights2">
        <cfvo type="percent" val="0"/>
        <cfvo type="num" val="0"/>
        <cfvo type="num" val="1"/>
      </iconSet>
    </cfRule>
  </conditionalFormatting>
  <conditionalFormatting sqref="E23:E53">
    <cfRule type="iconSet" priority="35">
      <iconSet iconSet="3TrafficLights2">
        <cfvo type="percent" val="0"/>
        <cfvo type="num" val="0"/>
        <cfvo type="num" val="1"/>
      </iconSet>
    </cfRule>
  </conditionalFormatting>
  <conditionalFormatting sqref="F38:F53">
    <cfRule type="iconSet" priority="36">
      <iconSet iconSet="3TrafficLights2">
        <cfvo type="percent" val="0"/>
        <cfvo type="num" val="0"/>
        <cfvo type="num" val="1"/>
      </iconSet>
    </cfRule>
  </conditionalFormatting>
  <conditionalFormatting sqref="E38:E53">
    <cfRule type="iconSet" priority="37">
      <iconSet iconSet="3TrafficLights2">
        <cfvo type="percent" val="0"/>
        <cfvo type="num" val="0"/>
        <cfvo type="num" val="1"/>
      </iconSet>
    </cfRule>
  </conditionalFormatting>
  <conditionalFormatting sqref="C56:C61">
    <cfRule type="iconSet" priority="8">
      <iconSet iconSet="3TrafficLights2">
        <cfvo type="percent" val="0"/>
        <cfvo type="num" val="0"/>
        <cfvo type="num" val="1"/>
      </iconSet>
    </cfRule>
  </conditionalFormatting>
  <conditionalFormatting sqref="F75">
    <cfRule type="iconSet" priority="1">
      <iconSet iconSet="3TrafficLights2">
        <cfvo type="percent" val="0"/>
        <cfvo type="num" val="0"/>
        <cfvo type="num" val="1"/>
      </iconSet>
    </cfRule>
  </conditionalFormatting>
  <conditionalFormatting sqref="F71:F72">
    <cfRule type="iconSet" priority="38">
      <iconSet iconSet="3TrafficLights2">
        <cfvo type="percent" val="0"/>
        <cfvo type="num" val="0"/>
        <cfvo type="num" val="1"/>
      </iconSet>
    </cfRule>
  </conditionalFormatting>
  <conditionalFormatting sqref="E71:E72">
    <cfRule type="iconSet" priority="39">
      <iconSet iconSet="3TrafficLights2">
        <cfvo type="percent" val="0"/>
        <cfvo type="num" val="0"/>
        <cfvo type="num" val="1"/>
      </iconSet>
    </cfRule>
  </conditionalFormatting>
  <dataValidations count="4">
    <dataValidation type="list" allowBlank="1" showInputMessage="1" showErrorMessage="1" sqref="D55">
      <formula1>$H$55:$H$57</formula1>
    </dataValidation>
    <dataValidation type="list" allowBlank="1" showInputMessage="1" showErrorMessage="1" sqref="D10:E10">
      <formula1>$H$11:$H$13</formula1>
    </dataValidation>
    <dataValidation type="whole" allowBlank="1" showInputMessage="1" showErrorMessage="1" error="Digite 1 para ingresos iguales o superiores a 92.000 UVT's ($2.396'.508.000)_x000a_2 para ingresos entre 15.000 y 92.000 UVT's y_x000a_3 para inferiores a 15.000" sqref="D11">
      <formula1>1</formula1>
      <formula2>3</formula2>
    </dataValidation>
    <dataValidation type="list" allowBlank="1" showInputMessage="1" showErrorMessage="1" sqref="D47">
      <formula1>$E$47:$E$48</formula1>
    </dataValidation>
  </dataValidations>
  <hyperlinks>
    <hyperlink ref="J79" r:id="rId1" display="jhony.duran@cafedecolombia.com"/>
  </hyperlinks>
  <printOptions horizontalCentered="1" verticalCentered="1"/>
  <pageMargins left="0.19685039370078741" right="0.19685039370078741" top="0.19685039370078741" bottom="0.19685039370078741" header="3.937007874015748E-2" footer="0.15748031496062992"/>
  <pageSetup scale="82"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nchor moveWithCells="1">
                  <from>
                    <xdr:col>2</xdr:col>
                    <xdr:colOff>57150</xdr:colOff>
                    <xdr:row>10</xdr:row>
                    <xdr:rowOff>19050</xdr:rowOff>
                  </from>
                  <to>
                    <xdr:col>9</xdr:col>
                    <xdr:colOff>76200</xdr:colOff>
                    <xdr:row>11</xdr:row>
                    <xdr:rowOff>114300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2</xdr:col>
                    <xdr:colOff>57150</xdr:colOff>
                    <xdr:row>11</xdr:row>
                    <xdr:rowOff>38100</xdr:rowOff>
                  </from>
                  <to>
                    <xdr:col>5</xdr:col>
                    <xdr:colOff>114300</xdr:colOff>
                    <xdr:row>13</xdr:row>
                    <xdr:rowOff>28575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B42"/>
  <sheetViews>
    <sheetView zoomScale="115" zoomScaleNormal="115" workbookViewId="0">
      <selection sqref="A1:B1"/>
    </sheetView>
  </sheetViews>
  <sheetFormatPr baseColWidth="10" defaultRowHeight="15" x14ac:dyDescent="0.25"/>
  <cols>
    <col min="1" max="1" width="49.140625" customWidth="1"/>
    <col min="2" max="2" width="28" customWidth="1"/>
  </cols>
  <sheetData>
    <row r="1" spans="1:2" ht="18.75" x14ac:dyDescent="0.3">
      <c r="A1" s="334" t="s">
        <v>91</v>
      </c>
      <c r="B1" s="334"/>
    </row>
    <row r="2" spans="1:2" x14ac:dyDescent="0.25">
      <c r="A2" s="378">
        <v>41270</v>
      </c>
      <c r="B2" s="378"/>
    </row>
    <row r="5" spans="1:2" ht="40.9" customHeight="1" x14ac:dyDescent="0.25">
      <c r="A5" s="385" t="s">
        <v>69</v>
      </c>
      <c r="B5" s="385"/>
    </row>
    <row r="6" spans="1:2" x14ac:dyDescent="0.25">
      <c r="A6" s="386"/>
      <c r="B6" s="386"/>
    </row>
    <row r="8" spans="1:2" x14ac:dyDescent="0.25">
      <c r="A8" s="381" t="s">
        <v>66</v>
      </c>
      <c r="B8" s="381"/>
    </row>
    <row r="10" spans="1:2" ht="74.45" customHeight="1" x14ac:dyDescent="0.25">
      <c r="A10" s="382" t="s">
        <v>90</v>
      </c>
      <c r="B10" s="382"/>
    </row>
    <row r="12" spans="1:2" x14ac:dyDescent="0.25">
      <c r="A12" s="44" t="s">
        <v>67</v>
      </c>
      <c r="B12" s="3" t="s">
        <v>68</v>
      </c>
    </row>
    <row r="13" spans="1:2" x14ac:dyDescent="0.25">
      <c r="A13" s="44" t="s">
        <v>49</v>
      </c>
      <c r="B13" s="43">
        <v>41352</v>
      </c>
    </row>
    <row r="14" spans="1:2" x14ac:dyDescent="0.25">
      <c r="A14" s="44" t="s">
        <v>13</v>
      </c>
      <c r="B14" s="43">
        <v>41411</v>
      </c>
    </row>
    <row r="15" spans="1:2" x14ac:dyDescent="0.25">
      <c r="A15" s="44" t="s">
        <v>14</v>
      </c>
      <c r="B15" s="43">
        <v>41474</v>
      </c>
    </row>
    <row r="16" spans="1:2" x14ac:dyDescent="0.25">
      <c r="A16" s="44" t="s">
        <v>15</v>
      </c>
      <c r="B16" s="43">
        <v>41536</v>
      </c>
    </row>
    <row r="17" spans="1:2" x14ac:dyDescent="0.25">
      <c r="A17" s="44" t="s">
        <v>16</v>
      </c>
      <c r="B17" s="43">
        <v>41597</v>
      </c>
    </row>
    <row r="18" spans="1:2" x14ac:dyDescent="0.25">
      <c r="A18" s="44" t="s">
        <v>17</v>
      </c>
      <c r="B18" s="43">
        <v>41656</v>
      </c>
    </row>
    <row r="20" spans="1:2" ht="61.9" customHeight="1" x14ac:dyDescent="0.25">
      <c r="A20" s="382" t="s">
        <v>70</v>
      </c>
      <c r="B20" s="382"/>
    </row>
    <row r="22" spans="1:2" ht="62.45" customHeight="1" x14ac:dyDescent="0.25">
      <c r="A22" s="382" t="s">
        <v>71</v>
      </c>
      <c r="B22" s="382"/>
    </row>
    <row r="24" spans="1:2" s="66" customFormat="1" x14ac:dyDescent="0.25"/>
    <row r="25" spans="1:2" s="66" customFormat="1" ht="18.75" x14ac:dyDescent="0.3">
      <c r="A25" s="334" t="s">
        <v>93</v>
      </c>
      <c r="B25" s="334"/>
    </row>
    <row r="26" spans="1:2" s="66" customFormat="1" x14ac:dyDescent="0.25">
      <c r="A26" s="378">
        <v>41138</v>
      </c>
      <c r="B26" s="378"/>
    </row>
    <row r="27" spans="1:2" s="66" customFormat="1" x14ac:dyDescent="0.25">
      <c r="A27" s="381" t="s">
        <v>92</v>
      </c>
      <c r="B27" s="381"/>
    </row>
    <row r="28" spans="1:2" x14ac:dyDescent="0.25">
      <c r="A28" s="66"/>
    </row>
    <row r="29" spans="1:2" ht="38.450000000000003" customHeight="1" x14ac:dyDescent="0.25">
      <c r="A29" s="382" t="s">
        <v>94</v>
      </c>
      <c r="B29" s="382"/>
    </row>
    <row r="31" spans="1:2" x14ac:dyDescent="0.25">
      <c r="A31" s="383" t="s">
        <v>97</v>
      </c>
      <c r="B31" s="384"/>
    </row>
    <row r="32" spans="1:2" x14ac:dyDescent="0.25">
      <c r="A32" s="68" t="s">
        <v>95</v>
      </c>
      <c r="B32" s="68" t="s">
        <v>96</v>
      </c>
    </row>
    <row r="33" spans="1:2" x14ac:dyDescent="0.25">
      <c r="A33" s="69">
        <v>0</v>
      </c>
      <c r="B33" s="70">
        <v>41429</v>
      </c>
    </row>
    <row r="34" spans="1:2" x14ac:dyDescent="0.25">
      <c r="A34" s="69">
        <v>1</v>
      </c>
      <c r="B34" s="70">
        <v>41430</v>
      </c>
    </row>
    <row r="35" spans="1:2" x14ac:dyDescent="0.25">
      <c r="A35" s="69">
        <v>2</v>
      </c>
      <c r="B35" s="70">
        <v>41431</v>
      </c>
    </row>
    <row r="36" spans="1:2" x14ac:dyDescent="0.25">
      <c r="A36" s="69">
        <v>3</v>
      </c>
      <c r="B36" s="70">
        <v>41432</v>
      </c>
    </row>
    <row r="37" spans="1:2" x14ac:dyDescent="0.25">
      <c r="A37" s="69">
        <v>4</v>
      </c>
      <c r="B37" s="70">
        <v>41436</v>
      </c>
    </row>
    <row r="38" spans="1:2" x14ac:dyDescent="0.25">
      <c r="A38" s="69">
        <v>5</v>
      </c>
      <c r="B38" s="70">
        <v>41437</v>
      </c>
    </row>
    <row r="39" spans="1:2" x14ac:dyDescent="0.25">
      <c r="A39" s="69">
        <v>6</v>
      </c>
      <c r="B39" s="70">
        <v>41438</v>
      </c>
    </row>
    <row r="40" spans="1:2" x14ac:dyDescent="0.25">
      <c r="A40" s="69">
        <v>7</v>
      </c>
      <c r="B40" s="70">
        <v>41439</v>
      </c>
    </row>
    <row r="41" spans="1:2" x14ac:dyDescent="0.25">
      <c r="A41" s="69">
        <v>8</v>
      </c>
      <c r="B41" s="70">
        <v>41442</v>
      </c>
    </row>
    <row r="42" spans="1:2" x14ac:dyDescent="0.25">
      <c r="A42" s="69">
        <v>9</v>
      </c>
      <c r="B42" s="70">
        <v>41443</v>
      </c>
    </row>
  </sheetData>
  <sheetProtection sheet="1" objects="1" scenarios="1"/>
  <mergeCells count="13">
    <mergeCell ref="A22:B22"/>
    <mergeCell ref="A1:B1"/>
    <mergeCell ref="A2:B2"/>
    <mergeCell ref="A5:B5"/>
    <mergeCell ref="A6:B6"/>
    <mergeCell ref="A8:B8"/>
    <mergeCell ref="A10:B10"/>
    <mergeCell ref="A20:B20"/>
    <mergeCell ref="A25:B25"/>
    <mergeCell ref="A26:B26"/>
    <mergeCell ref="A27:B27"/>
    <mergeCell ref="A29:B29"/>
    <mergeCell ref="A31:B31"/>
  </mergeCells>
  <pageMargins left="0.7" right="0.7" top="0.75" bottom="0.75" header="0.3" footer="0.3"/>
  <pageSetup orientation="portrait" horizontalDpi="120" verticalDpi="14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E52"/>
  <sheetViews>
    <sheetView zoomScale="115" zoomScaleNormal="115" workbookViewId="0">
      <selection sqref="A1:B1"/>
    </sheetView>
  </sheetViews>
  <sheetFormatPr baseColWidth="10" defaultColWidth="11.5703125" defaultRowHeight="15" x14ac:dyDescent="0.25"/>
  <cols>
    <col min="1" max="1" width="49.140625" style="47" customWidth="1"/>
    <col min="2" max="2" width="28" style="47" customWidth="1"/>
    <col min="3" max="3" width="11.5703125" style="47"/>
    <col min="4" max="4" width="22.7109375" style="47" bestFit="1" customWidth="1"/>
    <col min="5" max="5" width="11.5703125" style="47"/>
    <col min="6" max="6" width="17.7109375" style="47" customWidth="1"/>
    <col min="7" max="16384" width="11.5703125" style="47"/>
  </cols>
  <sheetData>
    <row r="1" spans="1:2" ht="23.25" x14ac:dyDescent="0.35">
      <c r="A1" s="388" t="s">
        <v>99</v>
      </c>
      <c r="B1" s="388"/>
    </row>
    <row r="3" spans="1:2" ht="18.75" x14ac:dyDescent="0.3">
      <c r="A3" s="334" t="s">
        <v>98</v>
      </c>
      <c r="B3" s="334"/>
    </row>
    <row r="4" spans="1:2" x14ac:dyDescent="0.25">
      <c r="A4" s="386"/>
      <c r="B4" s="386"/>
    </row>
    <row r="6" spans="1:2" x14ac:dyDescent="0.25">
      <c r="A6" s="381" t="s">
        <v>107</v>
      </c>
      <c r="B6" s="381"/>
    </row>
    <row r="7" spans="1:2" x14ac:dyDescent="0.25">
      <c r="A7" s="9" t="s">
        <v>100</v>
      </c>
    </row>
    <row r="8" spans="1:2" x14ac:dyDescent="0.25">
      <c r="A8" s="387" t="s">
        <v>74</v>
      </c>
      <c r="B8" s="387"/>
    </row>
    <row r="9" spans="1:2" ht="19.5" x14ac:dyDescent="0.25">
      <c r="A9" s="50" t="s">
        <v>75</v>
      </c>
      <c r="B9" s="50" t="s">
        <v>76</v>
      </c>
    </row>
    <row r="10" spans="1:2" x14ac:dyDescent="0.25">
      <c r="A10" s="51" t="s">
        <v>77</v>
      </c>
      <c r="B10" s="60">
        <v>41388</v>
      </c>
    </row>
    <row r="11" spans="1:2" x14ac:dyDescent="0.25">
      <c r="A11" s="52" t="s">
        <v>78</v>
      </c>
      <c r="B11" s="61">
        <v>41389</v>
      </c>
    </row>
    <row r="12" spans="1:2" x14ac:dyDescent="0.25">
      <c r="A12" s="51" t="s">
        <v>79</v>
      </c>
      <c r="B12" s="60">
        <v>41390</v>
      </c>
    </row>
    <row r="13" spans="1:2" x14ac:dyDescent="0.25">
      <c r="A13" s="52" t="s">
        <v>80</v>
      </c>
      <c r="B13" s="61">
        <v>41393</v>
      </c>
    </row>
    <row r="14" spans="1:2" x14ac:dyDescent="0.25">
      <c r="A14" s="51" t="s">
        <v>81</v>
      </c>
      <c r="B14" s="60">
        <v>41394</v>
      </c>
    </row>
    <row r="16" spans="1:2" x14ac:dyDescent="0.25">
      <c r="A16" s="381" t="s">
        <v>106</v>
      </c>
      <c r="B16" s="381"/>
    </row>
    <row r="17" spans="1:5" x14ac:dyDescent="0.25">
      <c r="A17" s="9" t="s">
        <v>101</v>
      </c>
    </row>
    <row r="18" spans="1:5" x14ac:dyDescent="0.25">
      <c r="A18" s="387" t="s">
        <v>82</v>
      </c>
      <c r="B18" s="387"/>
    </row>
    <row r="19" spans="1:5" x14ac:dyDescent="0.25">
      <c r="A19" s="53" t="s">
        <v>83</v>
      </c>
      <c r="B19" s="53" t="s">
        <v>84</v>
      </c>
      <c r="D19" s="58"/>
    </row>
    <row r="20" spans="1:5" x14ac:dyDescent="0.25">
      <c r="A20" s="56">
        <v>41244</v>
      </c>
      <c r="B20" s="61">
        <v>41289</v>
      </c>
      <c r="D20" s="58"/>
    </row>
    <row r="21" spans="1:5" x14ac:dyDescent="0.25">
      <c r="A21" s="57">
        <v>41275</v>
      </c>
      <c r="B21" s="60">
        <v>41320</v>
      </c>
      <c r="D21" s="59"/>
      <c r="E21" s="58"/>
    </row>
    <row r="22" spans="1:5" x14ac:dyDescent="0.25">
      <c r="A22" s="56">
        <v>41306</v>
      </c>
      <c r="B22" s="61">
        <v>41348</v>
      </c>
      <c r="D22" s="59"/>
    </row>
    <row r="23" spans="1:5" x14ac:dyDescent="0.25">
      <c r="A23" s="57">
        <v>41334</v>
      </c>
      <c r="B23" s="60">
        <v>41379</v>
      </c>
      <c r="D23" s="59"/>
    </row>
    <row r="24" spans="1:5" x14ac:dyDescent="0.25">
      <c r="A24" s="56">
        <v>41365</v>
      </c>
      <c r="B24" s="61">
        <v>41409</v>
      </c>
      <c r="D24" s="59"/>
    </row>
    <row r="25" spans="1:5" x14ac:dyDescent="0.25">
      <c r="A25" s="57">
        <v>41395</v>
      </c>
      <c r="B25" s="60">
        <v>41442</v>
      </c>
      <c r="D25" s="59"/>
    </row>
    <row r="26" spans="1:5" x14ac:dyDescent="0.25">
      <c r="A26" s="56">
        <v>41426</v>
      </c>
      <c r="B26" s="61">
        <v>41470</v>
      </c>
      <c r="D26" s="59"/>
    </row>
    <row r="27" spans="1:5" x14ac:dyDescent="0.25">
      <c r="A27" s="57">
        <v>41456</v>
      </c>
      <c r="B27" s="60">
        <v>41501</v>
      </c>
      <c r="D27" s="59"/>
    </row>
    <row r="28" spans="1:5" x14ac:dyDescent="0.25">
      <c r="A28" s="56">
        <v>41487</v>
      </c>
      <c r="B28" s="61">
        <v>41533</v>
      </c>
      <c r="D28" s="59"/>
    </row>
    <row r="29" spans="1:5" x14ac:dyDescent="0.25">
      <c r="A29" s="57">
        <v>41518</v>
      </c>
      <c r="B29" s="60">
        <v>41562</v>
      </c>
      <c r="D29" s="59"/>
    </row>
    <row r="30" spans="1:5" x14ac:dyDescent="0.25">
      <c r="A30" s="56">
        <v>41548</v>
      </c>
      <c r="B30" s="61">
        <v>41593</v>
      </c>
      <c r="D30" s="59"/>
    </row>
    <row r="31" spans="1:5" x14ac:dyDescent="0.25">
      <c r="A31" s="57">
        <v>41579</v>
      </c>
      <c r="B31" s="60">
        <v>41624</v>
      </c>
      <c r="D31" s="59"/>
    </row>
    <row r="32" spans="1:5" x14ac:dyDescent="0.25">
      <c r="A32" s="56">
        <v>41609</v>
      </c>
      <c r="B32" s="61">
        <v>41654</v>
      </c>
      <c r="D32" s="59"/>
    </row>
    <row r="37" spans="1:2" x14ac:dyDescent="0.25">
      <c r="A37" s="381" t="s">
        <v>105</v>
      </c>
      <c r="B37" s="381"/>
    </row>
    <row r="38" spans="1:2" ht="16.899999999999999" customHeight="1" x14ac:dyDescent="0.25">
      <c r="A38" s="387" t="s">
        <v>104</v>
      </c>
      <c r="B38" s="387"/>
    </row>
    <row r="39" spans="1:2" x14ac:dyDescent="0.25">
      <c r="A39" s="53" t="s">
        <v>85</v>
      </c>
      <c r="B39" s="53" t="s">
        <v>86</v>
      </c>
    </row>
    <row r="40" spans="1:2" x14ac:dyDescent="0.25">
      <c r="A40" s="55" t="s">
        <v>103</v>
      </c>
      <c r="B40" s="72">
        <v>41453</v>
      </c>
    </row>
    <row r="41" spans="1:2" s="67" customFormat="1" x14ac:dyDescent="0.25">
      <c r="A41" s="54"/>
      <c r="B41" s="73"/>
    </row>
    <row r="42" spans="1:2" s="67" customFormat="1" x14ac:dyDescent="0.25">
      <c r="A42" s="53" t="s">
        <v>102</v>
      </c>
      <c r="B42" s="53" t="s">
        <v>86</v>
      </c>
    </row>
    <row r="43" spans="1:2" x14ac:dyDescent="0.25">
      <c r="A43" s="54">
        <v>1</v>
      </c>
      <c r="B43" s="73">
        <v>41457</v>
      </c>
    </row>
    <row r="44" spans="1:2" x14ac:dyDescent="0.25">
      <c r="A44" s="55">
        <v>2</v>
      </c>
      <c r="B44" s="74">
        <v>41459</v>
      </c>
    </row>
    <row r="45" spans="1:2" x14ac:dyDescent="0.25">
      <c r="A45" s="54">
        <v>3</v>
      </c>
      <c r="B45" s="73">
        <v>41464</v>
      </c>
    </row>
    <row r="46" spans="1:2" x14ac:dyDescent="0.25">
      <c r="A46" s="55">
        <v>4</v>
      </c>
      <c r="B46" s="74">
        <v>41466</v>
      </c>
    </row>
    <row r="47" spans="1:2" x14ac:dyDescent="0.25">
      <c r="A47" s="54">
        <v>5</v>
      </c>
      <c r="B47" s="73">
        <v>41471</v>
      </c>
    </row>
    <row r="48" spans="1:2" x14ac:dyDescent="0.25">
      <c r="A48" s="55">
        <v>6</v>
      </c>
      <c r="B48" s="74">
        <v>41473</v>
      </c>
    </row>
    <row r="49" spans="1:2" x14ac:dyDescent="0.25">
      <c r="A49" s="54">
        <v>7</v>
      </c>
      <c r="B49" s="73">
        <v>41478</v>
      </c>
    </row>
    <row r="50" spans="1:2" x14ac:dyDescent="0.25">
      <c r="A50" s="55">
        <v>8</v>
      </c>
      <c r="B50" s="74">
        <v>41480</v>
      </c>
    </row>
    <row r="51" spans="1:2" x14ac:dyDescent="0.25">
      <c r="A51" s="54">
        <v>9</v>
      </c>
      <c r="B51" s="73">
        <v>41485</v>
      </c>
    </row>
    <row r="52" spans="1:2" x14ac:dyDescent="0.25">
      <c r="A52" s="55">
        <v>0</v>
      </c>
      <c r="B52" s="74">
        <v>41487</v>
      </c>
    </row>
  </sheetData>
  <sheetProtection sheet="1" objects="1" scenarios="1"/>
  <mergeCells count="9">
    <mergeCell ref="A18:B18"/>
    <mergeCell ref="A38:B38"/>
    <mergeCell ref="A16:B16"/>
    <mergeCell ref="A37:B37"/>
    <mergeCell ref="A1:B1"/>
    <mergeCell ref="A3:B3"/>
    <mergeCell ref="A4:B4"/>
    <mergeCell ref="A6:B6"/>
    <mergeCell ref="A8:B8"/>
  </mergeCells>
  <pageMargins left="0.7" right="0.7" top="0.75" bottom="0.75" header="0.3" footer="0.3"/>
  <pageSetup orientation="portrait" horizontalDpi="120" verticalDpi="144"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D11"/>
  <sheetViews>
    <sheetView workbookViewId="0">
      <selection sqref="A1:D11"/>
    </sheetView>
  </sheetViews>
  <sheetFormatPr baseColWidth="10" defaultColWidth="11.5703125" defaultRowHeight="15" x14ac:dyDescent="0.25"/>
  <cols>
    <col min="1" max="1" width="11.5703125" style="90"/>
    <col min="2" max="2" width="18.5703125" style="90" bestFit="1" customWidth="1"/>
    <col min="3" max="3" width="11.5703125" style="90"/>
    <col min="4" max="4" width="18.140625" style="90" bestFit="1" customWidth="1"/>
    <col min="5" max="16384" width="11.5703125" style="90"/>
  </cols>
  <sheetData>
    <row r="1" spans="1:4" ht="36" x14ac:dyDescent="0.25">
      <c r="A1" s="92" t="s">
        <v>151</v>
      </c>
      <c r="B1" s="92" t="s">
        <v>150</v>
      </c>
      <c r="C1" s="92" t="s">
        <v>151</v>
      </c>
      <c r="D1" s="92" t="s">
        <v>150</v>
      </c>
    </row>
    <row r="2" spans="1:4" x14ac:dyDescent="0.25">
      <c r="A2" s="58" t="s">
        <v>149</v>
      </c>
      <c r="B2" s="58" t="s">
        <v>148</v>
      </c>
      <c r="C2" s="58" t="s">
        <v>147</v>
      </c>
      <c r="D2" s="90" t="s">
        <v>146</v>
      </c>
    </row>
    <row r="3" spans="1:4" x14ac:dyDescent="0.25">
      <c r="A3" s="58" t="s">
        <v>145</v>
      </c>
      <c r="B3" s="58" t="s">
        <v>144</v>
      </c>
      <c r="C3" s="58" t="s">
        <v>143</v>
      </c>
      <c r="D3" s="90" t="s">
        <v>142</v>
      </c>
    </row>
    <row r="4" spans="1:4" x14ac:dyDescent="0.25">
      <c r="A4" s="58" t="s">
        <v>141</v>
      </c>
      <c r="B4" s="58" t="s">
        <v>140</v>
      </c>
      <c r="C4" s="58" t="s">
        <v>139</v>
      </c>
      <c r="D4" s="90" t="s">
        <v>138</v>
      </c>
    </row>
    <row r="5" spans="1:4" x14ac:dyDescent="0.25">
      <c r="A5" s="58" t="s">
        <v>137</v>
      </c>
      <c r="B5" s="58" t="s">
        <v>136</v>
      </c>
      <c r="C5" s="58" t="s">
        <v>135</v>
      </c>
      <c r="D5" s="90" t="s">
        <v>134</v>
      </c>
    </row>
    <row r="6" spans="1:4" x14ac:dyDescent="0.25">
      <c r="A6" s="90" t="s">
        <v>133</v>
      </c>
      <c r="B6" s="90" t="s">
        <v>132</v>
      </c>
      <c r="C6" s="58" t="s">
        <v>131</v>
      </c>
      <c r="D6" s="90" t="s">
        <v>130</v>
      </c>
    </row>
    <row r="7" spans="1:4" x14ac:dyDescent="0.25">
      <c r="A7" s="58" t="s">
        <v>129</v>
      </c>
      <c r="B7" s="58" t="s">
        <v>128</v>
      </c>
      <c r="C7" s="58" t="s">
        <v>127</v>
      </c>
      <c r="D7" s="90" t="s">
        <v>126</v>
      </c>
    </row>
    <row r="8" spans="1:4" x14ac:dyDescent="0.25">
      <c r="A8" s="58" t="s">
        <v>125</v>
      </c>
      <c r="B8" s="58" t="s">
        <v>124</v>
      </c>
      <c r="C8" s="58" t="s">
        <v>123</v>
      </c>
      <c r="D8" s="90" t="s">
        <v>122</v>
      </c>
    </row>
    <row r="9" spans="1:4" x14ac:dyDescent="0.25">
      <c r="A9" s="58" t="s">
        <v>121</v>
      </c>
      <c r="B9" s="58" t="s">
        <v>120</v>
      </c>
      <c r="C9" s="58" t="s">
        <v>119</v>
      </c>
      <c r="D9" s="90" t="s">
        <v>118</v>
      </c>
    </row>
    <row r="10" spans="1:4" x14ac:dyDescent="0.25">
      <c r="A10" s="58" t="s">
        <v>117</v>
      </c>
      <c r="B10" s="58" t="s">
        <v>116</v>
      </c>
      <c r="C10" s="58" t="s">
        <v>115</v>
      </c>
      <c r="D10" s="90" t="s">
        <v>114</v>
      </c>
    </row>
    <row r="11" spans="1:4" x14ac:dyDescent="0.25">
      <c r="A11" s="58" t="s">
        <v>113</v>
      </c>
      <c r="B11" s="58" t="s">
        <v>112</v>
      </c>
      <c r="C11" s="58" t="s">
        <v>111</v>
      </c>
      <c r="D11" s="90" t="s">
        <v>110</v>
      </c>
    </row>
  </sheetData>
  <pageMargins left="0.7" right="0.7" top="0.75" bottom="0.75" header="0.3" footer="0.3"/>
  <pageSetup orientation="portrait" horizontalDpi="120" verticalDpi="144"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D16"/>
  <sheetViews>
    <sheetView workbookViewId="0">
      <selection activeCell="D4" sqref="D4:H4"/>
    </sheetView>
  </sheetViews>
  <sheetFormatPr baseColWidth="10" defaultRowHeight="15" x14ac:dyDescent="0.25"/>
  <cols>
    <col min="2" max="2" width="25.85546875" bestFit="1" customWidth="1"/>
  </cols>
  <sheetData>
    <row r="1" spans="1:4" ht="21" x14ac:dyDescent="0.35">
      <c r="A1" s="189" t="s">
        <v>584</v>
      </c>
    </row>
    <row r="4" spans="1:4" ht="84" customHeight="1" x14ac:dyDescent="0.25">
      <c r="A4" s="389" t="s">
        <v>369</v>
      </c>
      <c r="B4" s="389"/>
      <c r="C4" s="389"/>
      <c r="D4" s="389"/>
    </row>
    <row r="5" spans="1:4" ht="15.75" thickBot="1" x14ac:dyDescent="0.3"/>
    <row r="6" spans="1:4" ht="24.75" thickBot="1" x14ac:dyDescent="0.3">
      <c r="A6" s="183" t="s">
        <v>368</v>
      </c>
      <c r="B6" s="184" t="s">
        <v>18</v>
      </c>
    </row>
    <row r="7" spans="1:4" ht="15.75" thickBot="1" x14ac:dyDescent="0.3">
      <c r="A7" s="185">
        <v>0</v>
      </c>
      <c r="B7" s="186" t="s">
        <v>583</v>
      </c>
    </row>
    <row r="8" spans="1:4" ht="15.75" thickBot="1" x14ac:dyDescent="0.3">
      <c r="A8" s="185">
        <v>9</v>
      </c>
      <c r="B8" s="186" t="s">
        <v>583</v>
      </c>
    </row>
    <row r="9" spans="1:4" ht="15.75" thickBot="1" x14ac:dyDescent="0.3">
      <c r="A9" s="185">
        <v>8</v>
      </c>
      <c r="B9" s="186" t="s">
        <v>583</v>
      </c>
    </row>
    <row r="10" spans="1:4" ht="15.75" thickBot="1" x14ac:dyDescent="0.3">
      <c r="A10" s="185">
        <v>7</v>
      </c>
      <c r="B10" s="186" t="s">
        <v>583</v>
      </c>
    </row>
    <row r="11" spans="1:4" ht="15.75" thickBot="1" x14ac:dyDescent="0.3">
      <c r="A11" s="185">
        <v>6</v>
      </c>
      <c r="B11" s="186" t="s">
        <v>583</v>
      </c>
    </row>
    <row r="12" spans="1:4" ht="15.75" thickBot="1" x14ac:dyDescent="0.3">
      <c r="A12" s="185">
        <v>5</v>
      </c>
      <c r="B12" s="186" t="s">
        <v>583</v>
      </c>
    </row>
    <row r="13" spans="1:4" ht="15.75" thickBot="1" x14ac:dyDescent="0.3">
      <c r="A13" s="185">
        <v>4</v>
      </c>
      <c r="B13" s="186" t="s">
        <v>583</v>
      </c>
    </row>
    <row r="14" spans="1:4" ht="15.75" thickBot="1" x14ac:dyDescent="0.3">
      <c r="A14" s="185">
        <v>3</v>
      </c>
      <c r="B14" s="186" t="s">
        <v>583</v>
      </c>
    </row>
    <row r="15" spans="1:4" ht="15.75" thickBot="1" x14ac:dyDescent="0.3">
      <c r="A15" s="187">
        <v>2</v>
      </c>
      <c r="B15" s="186" t="s">
        <v>583</v>
      </c>
    </row>
    <row r="16" spans="1:4" ht="15.75" thickBot="1" x14ac:dyDescent="0.3">
      <c r="A16" s="185">
        <v>1</v>
      </c>
      <c r="B16" s="186" t="s">
        <v>583</v>
      </c>
    </row>
  </sheetData>
  <mergeCells count="1">
    <mergeCell ref="A4:D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Q473"/>
  <sheetViews>
    <sheetView showGridLines="0" topLeftCell="A462" zoomScaleNormal="100" workbookViewId="0">
      <selection activeCell="A463" sqref="A463:C463"/>
    </sheetView>
  </sheetViews>
  <sheetFormatPr baseColWidth="10" defaultRowHeight="15" x14ac:dyDescent="0.25"/>
  <cols>
    <col min="1" max="1" width="7.7109375" customWidth="1"/>
    <col min="2" max="2" width="2.5703125" customWidth="1"/>
    <col min="3" max="3" width="8.7109375" customWidth="1"/>
    <col min="4" max="4" width="24.5703125" customWidth="1"/>
    <col min="5" max="5" width="19" customWidth="1"/>
    <col min="6" max="6" width="17.7109375" bestFit="1" customWidth="1"/>
    <col min="7" max="7" width="23.85546875" bestFit="1" customWidth="1"/>
    <col min="8" max="8" width="23.28515625" bestFit="1" customWidth="1"/>
    <col min="9" max="9" width="18.7109375" bestFit="1" customWidth="1"/>
    <col min="10" max="10" width="21.5703125" bestFit="1" customWidth="1"/>
    <col min="11" max="11" width="23.85546875" bestFit="1" customWidth="1"/>
    <col min="12" max="12" width="20.5703125" bestFit="1" customWidth="1"/>
    <col min="13" max="13" width="23.5703125" bestFit="1" customWidth="1"/>
    <col min="14" max="14" width="22.7109375" bestFit="1" customWidth="1"/>
    <col min="15" max="15" width="18.5703125" bestFit="1" customWidth="1"/>
  </cols>
  <sheetData>
    <row r="1" spans="1:8" ht="18.75" x14ac:dyDescent="0.3">
      <c r="A1" s="334" t="s">
        <v>405</v>
      </c>
      <c r="B1" s="334"/>
      <c r="C1" s="334"/>
      <c r="D1" s="334"/>
      <c r="E1" s="334"/>
      <c r="F1" s="334"/>
      <c r="G1" s="334"/>
      <c r="H1" s="334"/>
    </row>
    <row r="2" spans="1:8" s="63" customFormat="1" ht="61.5" customHeight="1" x14ac:dyDescent="0.25">
      <c r="A2" s="339" t="s">
        <v>406</v>
      </c>
      <c r="B2" s="339"/>
      <c r="C2" s="339"/>
      <c r="D2" s="339"/>
      <c r="E2" s="339"/>
      <c r="F2" s="339"/>
      <c r="G2" s="339"/>
      <c r="H2" s="339"/>
    </row>
    <row r="3" spans="1:8" x14ac:dyDescent="0.25">
      <c r="A3" s="5" t="s">
        <v>234</v>
      </c>
      <c r="C3" s="18"/>
      <c r="D3" s="191" t="s">
        <v>25</v>
      </c>
    </row>
    <row r="4" spans="1:8" x14ac:dyDescent="0.25">
      <c r="A4" s="5" t="s">
        <v>233</v>
      </c>
      <c r="D4" s="191" t="s">
        <v>26</v>
      </c>
    </row>
    <row r="5" spans="1:8" x14ac:dyDescent="0.25">
      <c r="A5" s="5" t="s">
        <v>334</v>
      </c>
      <c r="D5" s="191" t="s">
        <v>28</v>
      </c>
    </row>
    <row r="6" spans="1:8" s="105" customFormat="1" x14ac:dyDescent="0.25">
      <c r="A6" s="5" t="s">
        <v>270</v>
      </c>
      <c r="D6" s="191" t="s">
        <v>226</v>
      </c>
    </row>
    <row r="7" spans="1:8" s="105" customFormat="1" x14ac:dyDescent="0.25">
      <c r="A7" s="5" t="s">
        <v>271</v>
      </c>
      <c r="D7" s="191" t="s">
        <v>227</v>
      </c>
    </row>
    <row r="8" spans="1:8" s="105" customFormat="1" x14ac:dyDescent="0.25">
      <c r="A8" s="5" t="s">
        <v>273</v>
      </c>
      <c r="D8" s="191" t="s">
        <v>228</v>
      </c>
    </row>
    <row r="9" spans="1:8" x14ac:dyDescent="0.25">
      <c r="A9" s="5" t="s">
        <v>277</v>
      </c>
      <c r="D9" s="191" t="s">
        <v>56</v>
      </c>
    </row>
    <row r="10" spans="1:8" x14ac:dyDescent="0.25">
      <c r="A10" s="5" t="s">
        <v>279</v>
      </c>
      <c r="D10" s="191" t="s">
        <v>54</v>
      </c>
    </row>
    <row r="11" spans="1:8" s="105" customFormat="1" x14ac:dyDescent="0.25">
      <c r="A11" s="5" t="s">
        <v>278</v>
      </c>
      <c r="D11" s="191" t="s">
        <v>229</v>
      </c>
    </row>
    <row r="12" spans="1:8" s="142" customFormat="1" x14ac:dyDescent="0.25">
      <c r="A12" s="5" t="s">
        <v>280</v>
      </c>
      <c r="D12" s="191" t="s">
        <v>281</v>
      </c>
    </row>
    <row r="13" spans="1:8" x14ac:dyDescent="0.25">
      <c r="A13" s="5" t="s">
        <v>284</v>
      </c>
      <c r="D13" s="191" t="s">
        <v>55</v>
      </c>
    </row>
    <row r="14" spans="1:8" x14ac:dyDescent="0.25">
      <c r="A14" s="5"/>
      <c r="D14" s="191" t="s">
        <v>307</v>
      </c>
    </row>
    <row r="15" spans="1:8" s="49" customFormat="1" x14ac:dyDescent="0.25">
      <c r="A15" s="5" t="s">
        <v>306</v>
      </c>
      <c r="D15" s="191" t="s">
        <v>88</v>
      </c>
    </row>
    <row r="17" spans="1:8" ht="27.75" customHeight="1" x14ac:dyDescent="0.25">
      <c r="A17" s="335" t="s">
        <v>407</v>
      </c>
      <c r="B17" s="335"/>
      <c r="C17" s="335"/>
      <c r="D17" s="335"/>
      <c r="E17" s="335"/>
      <c r="F17" s="335"/>
      <c r="G17" s="335"/>
      <c r="H17" s="335"/>
    </row>
    <row r="18" spans="1:8" ht="27.75" customHeight="1" x14ac:dyDescent="0.25">
      <c r="A18" s="335"/>
      <c r="B18" s="335"/>
      <c r="C18" s="335"/>
      <c r="D18" s="335"/>
      <c r="E18" s="335"/>
      <c r="F18" s="335"/>
      <c r="G18" s="335"/>
      <c r="H18" s="335"/>
    </row>
    <row r="19" spans="1:8" ht="27.75" customHeight="1" x14ac:dyDescent="0.25">
      <c r="A19" s="335"/>
      <c r="B19" s="335"/>
      <c r="C19" s="335"/>
      <c r="D19" s="335"/>
      <c r="E19" s="335"/>
      <c r="F19" s="335"/>
      <c r="G19" s="335"/>
      <c r="H19" s="335"/>
    </row>
    <row r="20" spans="1:8" ht="56.25" customHeight="1" x14ac:dyDescent="0.25">
      <c r="A20" s="335"/>
      <c r="B20" s="335"/>
      <c r="C20" s="335"/>
      <c r="D20" s="335"/>
      <c r="E20" s="335"/>
      <c r="F20" s="335"/>
      <c r="G20" s="335"/>
      <c r="H20" s="335"/>
    </row>
    <row r="22" spans="1:8" x14ac:dyDescent="0.25">
      <c r="A22" s="2" t="s">
        <v>20</v>
      </c>
      <c r="B22" s="2"/>
      <c r="C22" s="2"/>
    </row>
    <row r="23" spans="1:8" ht="24.6" customHeight="1" x14ac:dyDescent="0.25">
      <c r="A23" s="125" t="s">
        <v>19</v>
      </c>
      <c r="B23" s="125"/>
      <c r="C23" s="125"/>
      <c r="D23" s="125" t="s">
        <v>18</v>
      </c>
    </row>
    <row r="24" spans="1:8" x14ac:dyDescent="0.25">
      <c r="A24" s="3">
        <v>0</v>
      </c>
      <c r="B24" s="3"/>
      <c r="C24" s="3"/>
      <c r="D24" s="15">
        <v>43872</v>
      </c>
      <c r="E24" s="15"/>
    </row>
    <row r="25" spans="1:8" x14ac:dyDescent="0.25">
      <c r="A25" s="3">
        <v>9</v>
      </c>
      <c r="B25" s="3"/>
      <c r="C25" s="3"/>
      <c r="D25" s="15">
        <v>43873</v>
      </c>
    </row>
    <row r="26" spans="1:8" x14ac:dyDescent="0.25">
      <c r="A26" s="3">
        <v>8</v>
      </c>
      <c r="B26" s="3"/>
      <c r="C26" s="3"/>
      <c r="D26" s="15">
        <v>43874</v>
      </c>
    </row>
    <row r="27" spans="1:8" x14ac:dyDescent="0.25">
      <c r="A27" s="3">
        <v>7</v>
      </c>
      <c r="B27" s="3"/>
      <c r="C27" s="3"/>
      <c r="D27" s="15">
        <v>43875</v>
      </c>
    </row>
    <row r="28" spans="1:8" x14ac:dyDescent="0.25">
      <c r="A28" s="3">
        <v>6</v>
      </c>
      <c r="B28" s="3"/>
      <c r="C28" s="3"/>
      <c r="D28" s="15">
        <v>43878</v>
      </c>
    </row>
    <row r="29" spans="1:8" x14ac:dyDescent="0.25">
      <c r="A29" s="3">
        <v>5</v>
      </c>
      <c r="B29" s="3"/>
      <c r="C29" s="3"/>
      <c r="D29" s="15">
        <v>43879</v>
      </c>
    </row>
    <row r="30" spans="1:8" x14ac:dyDescent="0.25">
      <c r="A30" s="3">
        <v>4</v>
      </c>
      <c r="B30" s="3"/>
      <c r="C30" s="3"/>
      <c r="D30" s="15">
        <v>43880</v>
      </c>
    </row>
    <row r="31" spans="1:8" x14ac:dyDescent="0.25">
      <c r="A31" s="3">
        <v>3</v>
      </c>
      <c r="B31" s="3"/>
      <c r="C31" s="3"/>
      <c r="D31" s="15">
        <v>43881</v>
      </c>
    </row>
    <row r="32" spans="1:8" x14ac:dyDescent="0.25">
      <c r="A32" s="3">
        <v>2</v>
      </c>
      <c r="B32" s="3"/>
      <c r="C32" s="3"/>
      <c r="D32" s="15">
        <v>43882</v>
      </c>
    </row>
    <row r="33" spans="1:5" x14ac:dyDescent="0.25">
      <c r="A33" s="3">
        <v>1</v>
      </c>
      <c r="B33" s="3"/>
      <c r="C33" s="3"/>
      <c r="D33" s="15">
        <v>43885</v>
      </c>
    </row>
    <row r="35" spans="1:5" x14ac:dyDescent="0.25">
      <c r="A35" s="2" t="s">
        <v>21</v>
      </c>
      <c r="B35" s="2"/>
      <c r="C35" s="2"/>
    </row>
    <row r="36" spans="1:5" ht="24.6" customHeight="1" x14ac:dyDescent="0.25">
      <c r="A36" s="125" t="s">
        <v>19</v>
      </c>
      <c r="B36" s="125"/>
      <c r="C36" s="125"/>
      <c r="D36" s="125" t="s">
        <v>18</v>
      </c>
      <c r="E36" s="156"/>
    </row>
    <row r="37" spans="1:5" x14ac:dyDescent="0.25">
      <c r="A37" s="3">
        <v>0</v>
      </c>
      <c r="B37" s="3"/>
      <c r="C37" s="3"/>
      <c r="D37" s="15">
        <v>43935</v>
      </c>
    </row>
    <row r="38" spans="1:5" x14ac:dyDescent="0.25">
      <c r="A38" s="3">
        <v>9</v>
      </c>
      <c r="B38" s="3"/>
      <c r="C38" s="3"/>
      <c r="D38" s="15">
        <v>43936</v>
      </c>
      <c r="E38" s="155"/>
    </row>
    <row r="39" spans="1:5" x14ac:dyDescent="0.25">
      <c r="A39" s="3">
        <v>8</v>
      </c>
      <c r="B39" s="3"/>
      <c r="C39" s="3"/>
      <c r="D39" s="15">
        <v>43937</v>
      </c>
    </row>
    <row r="40" spans="1:5" x14ac:dyDescent="0.25">
      <c r="A40" s="3">
        <v>7</v>
      </c>
      <c r="B40" s="3"/>
      <c r="C40" s="3"/>
      <c r="D40" s="15">
        <v>43938</v>
      </c>
    </row>
    <row r="41" spans="1:5" x14ac:dyDescent="0.25">
      <c r="A41" s="3">
        <v>6</v>
      </c>
      <c r="B41" s="3"/>
      <c r="C41" s="3"/>
      <c r="D41" s="15">
        <v>43941</v>
      </c>
    </row>
    <row r="42" spans="1:5" x14ac:dyDescent="0.25">
      <c r="A42" s="3">
        <v>5</v>
      </c>
      <c r="B42" s="3"/>
      <c r="C42" s="3"/>
      <c r="D42" s="15">
        <v>43942</v>
      </c>
    </row>
    <row r="43" spans="1:5" x14ac:dyDescent="0.25">
      <c r="A43" s="3">
        <v>4</v>
      </c>
      <c r="B43" s="3"/>
      <c r="C43" s="3"/>
      <c r="D43" s="15">
        <v>43943</v>
      </c>
    </row>
    <row r="44" spans="1:5" x14ac:dyDescent="0.25">
      <c r="A44" s="3">
        <v>3</v>
      </c>
      <c r="B44" s="3"/>
      <c r="C44" s="3"/>
      <c r="D44" s="15">
        <v>43944</v>
      </c>
    </row>
    <row r="45" spans="1:5" x14ac:dyDescent="0.25">
      <c r="A45" s="3">
        <v>2</v>
      </c>
      <c r="B45" s="3"/>
      <c r="C45" s="3"/>
      <c r="D45" s="15">
        <v>43945</v>
      </c>
    </row>
    <row r="46" spans="1:5" x14ac:dyDescent="0.25">
      <c r="A46" s="3">
        <v>1</v>
      </c>
      <c r="B46" s="3"/>
      <c r="C46" s="3"/>
      <c r="D46" s="15">
        <v>43948</v>
      </c>
    </row>
    <row r="48" spans="1:5" x14ac:dyDescent="0.25">
      <c r="A48" s="2" t="s">
        <v>22</v>
      </c>
      <c r="B48" s="2"/>
      <c r="C48" s="2"/>
    </row>
    <row r="49" spans="1:8" ht="60" x14ac:dyDescent="0.25">
      <c r="A49" s="125" t="s">
        <v>19</v>
      </c>
      <c r="B49" s="125"/>
      <c r="C49" s="125"/>
      <c r="D49" s="125" t="s">
        <v>18</v>
      </c>
    </row>
    <row r="50" spans="1:8" x14ac:dyDescent="0.25">
      <c r="A50" s="3">
        <v>0</v>
      </c>
      <c r="B50" s="3"/>
      <c r="C50" s="3"/>
      <c r="D50" s="15">
        <v>43991</v>
      </c>
      <c r="F50" s="160"/>
    </row>
    <row r="51" spans="1:8" x14ac:dyDescent="0.25">
      <c r="A51" s="3">
        <v>9</v>
      </c>
      <c r="B51" s="3"/>
      <c r="C51" s="3"/>
      <c r="D51" s="15">
        <v>43992</v>
      </c>
    </row>
    <row r="52" spans="1:8" x14ac:dyDescent="0.25">
      <c r="A52" s="3">
        <v>8</v>
      </c>
      <c r="B52" s="3"/>
      <c r="C52" s="3"/>
      <c r="D52" s="15">
        <v>43993</v>
      </c>
    </row>
    <row r="53" spans="1:8" x14ac:dyDescent="0.25">
      <c r="A53" s="3">
        <v>7</v>
      </c>
      <c r="B53" s="3"/>
      <c r="C53" s="3"/>
      <c r="D53" s="15">
        <v>43994</v>
      </c>
    </row>
    <row r="54" spans="1:8" x14ac:dyDescent="0.25">
      <c r="A54" s="3">
        <v>6</v>
      </c>
      <c r="B54" s="3"/>
      <c r="C54" s="3"/>
      <c r="D54" s="15">
        <v>43998</v>
      </c>
    </row>
    <row r="55" spans="1:8" x14ac:dyDescent="0.25">
      <c r="A55" s="3">
        <v>5</v>
      </c>
      <c r="B55" s="3"/>
      <c r="C55" s="3"/>
      <c r="D55" s="15">
        <v>43999</v>
      </c>
    </row>
    <row r="56" spans="1:8" x14ac:dyDescent="0.25">
      <c r="A56" s="3">
        <v>4</v>
      </c>
      <c r="B56" s="3"/>
      <c r="C56" s="3"/>
      <c r="D56" s="15">
        <v>44000</v>
      </c>
    </row>
    <row r="57" spans="1:8" x14ac:dyDescent="0.25">
      <c r="A57" s="3">
        <v>3</v>
      </c>
      <c r="B57" s="3"/>
      <c r="C57" s="3"/>
      <c r="D57" s="15">
        <v>44001</v>
      </c>
    </row>
    <row r="58" spans="1:8" x14ac:dyDescent="0.25">
      <c r="A58" s="3">
        <v>2</v>
      </c>
      <c r="B58" s="3"/>
      <c r="C58" s="3"/>
      <c r="D58" s="15">
        <v>44005</v>
      </c>
    </row>
    <row r="59" spans="1:8" x14ac:dyDescent="0.25">
      <c r="A59" s="3">
        <v>1</v>
      </c>
      <c r="B59" s="3"/>
      <c r="C59" s="3"/>
      <c r="D59" s="15">
        <v>44006</v>
      </c>
    </row>
    <row r="61" spans="1:8" ht="27.6" customHeight="1" x14ac:dyDescent="0.25">
      <c r="A61" s="335" t="s">
        <v>420</v>
      </c>
      <c r="B61" s="335"/>
      <c r="C61" s="335"/>
      <c r="D61" s="335"/>
      <c r="E61" s="335"/>
      <c r="F61" s="335"/>
      <c r="G61" s="335"/>
      <c r="H61" s="335"/>
    </row>
    <row r="62" spans="1:8" ht="27.6" customHeight="1" x14ac:dyDescent="0.25">
      <c r="A62" s="335"/>
      <c r="B62" s="335"/>
      <c r="C62" s="335"/>
      <c r="D62" s="335"/>
      <c r="E62" s="335"/>
      <c r="F62" s="335"/>
      <c r="G62" s="335"/>
      <c r="H62" s="335"/>
    </row>
    <row r="63" spans="1:8" ht="27.6" customHeight="1" x14ac:dyDescent="0.25">
      <c r="A63" s="335"/>
      <c r="B63" s="335"/>
      <c r="C63" s="335"/>
      <c r="D63" s="335"/>
      <c r="E63" s="335"/>
      <c r="F63" s="335"/>
      <c r="G63" s="335"/>
      <c r="H63" s="335"/>
    </row>
    <row r="64" spans="1:8" ht="51" customHeight="1" x14ac:dyDescent="0.25">
      <c r="A64" s="335"/>
      <c r="B64" s="335"/>
      <c r="C64" s="335"/>
      <c r="D64" s="335"/>
      <c r="E64" s="335"/>
      <c r="F64" s="335"/>
      <c r="G64" s="335"/>
      <c r="H64" s="335"/>
    </row>
    <row r="66" spans="1:5" x14ac:dyDescent="0.25">
      <c r="A66" s="2" t="s">
        <v>23</v>
      </c>
      <c r="B66" s="2"/>
      <c r="C66" s="2"/>
    </row>
    <row r="67" spans="1:5" ht="36" customHeight="1" x14ac:dyDescent="0.25">
      <c r="A67" s="340" t="s">
        <v>196</v>
      </c>
      <c r="B67" s="340"/>
      <c r="C67" s="340"/>
      <c r="D67" s="124" t="s">
        <v>18</v>
      </c>
      <c r="E67" s="156"/>
    </row>
    <row r="68" spans="1:5" x14ac:dyDescent="0.25">
      <c r="A68" s="221">
        <v>1</v>
      </c>
      <c r="B68" s="3" t="s">
        <v>235</v>
      </c>
      <c r="C68" s="221">
        <v>5</v>
      </c>
      <c r="D68" s="15">
        <v>43963</v>
      </c>
    </row>
    <row r="69" spans="1:5" x14ac:dyDescent="0.25">
      <c r="A69" s="221">
        <v>6</v>
      </c>
      <c r="B69" s="94" t="s">
        <v>235</v>
      </c>
      <c r="C69" s="221">
        <v>10</v>
      </c>
      <c r="D69" s="15">
        <v>43962</v>
      </c>
    </row>
    <row r="70" spans="1:5" x14ac:dyDescent="0.25">
      <c r="A70" s="221">
        <v>11</v>
      </c>
      <c r="B70" s="94" t="s">
        <v>235</v>
      </c>
      <c r="C70" s="221">
        <v>15</v>
      </c>
      <c r="D70" s="15">
        <v>43959</v>
      </c>
    </row>
    <row r="71" spans="1:5" x14ac:dyDescent="0.25">
      <c r="A71" s="221">
        <v>16</v>
      </c>
      <c r="B71" s="94" t="s">
        <v>235</v>
      </c>
      <c r="C71" s="221">
        <v>20</v>
      </c>
      <c r="D71" s="15">
        <v>43958</v>
      </c>
    </row>
    <row r="72" spans="1:5" x14ac:dyDescent="0.25">
      <c r="A72" s="221">
        <v>21</v>
      </c>
      <c r="B72" s="94" t="s">
        <v>235</v>
      </c>
      <c r="C72" s="221">
        <v>25</v>
      </c>
      <c r="D72" s="15">
        <v>43957</v>
      </c>
    </row>
    <row r="73" spans="1:5" x14ac:dyDescent="0.25">
      <c r="A73" s="221">
        <v>26</v>
      </c>
      <c r="B73" s="94" t="s">
        <v>235</v>
      </c>
      <c r="C73" s="221">
        <v>30</v>
      </c>
      <c r="D73" s="15">
        <v>43956</v>
      </c>
    </row>
    <row r="74" spans="1:5" x14ac:dyDescent="0.25">
      <c r="A74" s="221">
        <v>31</v>
      </c>
      <c r="B74" s="94" t="s">
        <v>235</v>
      </c>
      <c r="C74" s="221">
        <v>35</v>
      </c>
      <c r="D74" s="15">
        <v>43955</v>
      </c>
    </row>
    <row r="75" spans="1:5" x14ac:dyDescent="0.25">
      <c r="A75" s="221">
        <v>36</v>
      </c>
      <c r="B75" s="94" t="s">
        <v>235</v>
      </c>
      <c r="C75" s="221">
        <v>40</v>
      </c>
      <c r="D75" s="15">
        <v>43951</v>
      </c>
    </row>
    <row r="76" spans="1:5" x14ac:dyDescent="0.25">
      <c r="A76" s="221">
        <v>41</v>
      </c>
      <c r="B76" s="94" t="s">
        <v>235</v>
      </c>
      <c r="C76" s="221">
        <v>45</v>
      </c>
      <c r="D76" s="15">
        <v>43950</v>
      </c>
    </row>
    <row r="77" spans="1:5" x14ac:dyDescent="0.25">
      <c r="A77" s="221">
        <v>46</v>
      </c>
      <c r="B77" s="94" t="s">
        <v>235</v>
      </c>
      <c r="C77" s="221">
        <v>50</v>
      </c>
      <c r="D77" s="15">
        <v>43949</v>
      </c>
    </row>
    <row r="78" spans="1:5" s="95" customFormat="1" x14ac:dyDescent="0.25">
      <c r="A78" s="221">
        <v>51</v>
      </c>
      <c r="B78" s="94" t="s">
        <v>235</v>
      </c>
      <c r="C78" s="221">
        <v>55</v>
      </c>
      <c r="D78" s="15">
        <v>43948</v>
      </c>
    </row>
    <row r="79" spans="1:5" s="95" customFormat="1" x14ac:dyDescent="0.25">
      <c r="A79" s="221">
        <v>56</v>
      </c>
      <c r="B79" s="94" t="s">
        <v>235</v>
      </c>
      <c r="C79" s="221">
        <v>60</v>
      </c>
      <c r="D79" s="15">
        <v>43945</v>
      </c>
    </row>
    <row r="80" spans="1:5" s="95" customFormat="1" x14ac:dyDescent="0.25">
      <c r="A80" s="221">
        <v>61</v>
      </c>
      <c r="B80" s="94" t="s">
        <v>235</v>
      </c>
      <c r="C80" s="221">
        <v>65</v>
      </c>
      <c r="D80" s="15">
        <v>43944</v>
      </c>
    </row>
    <row r="81" spans="1:5" s="95" customFormat="1" x14ac:dyDescent="0.25">
      <c r="A81" s="221">
        <v>66</v>
      </c>
      <c r="B81" s="94" t="s">
        <v>235</v>
      </c>
      <c r="C81" s="221">
        <v>70</v>
      </c>
      <c r="D81" s="15">
        <v>43943</v>
      </c>
    </row>
    <row r="82" spans="1:5" s="95" customFormat="1" x14ac:dyDescent="0.25">
      <c r="A82" s="221">
        <v>71</v>
      </c>
      <c r="B82" s="94" t="s">
        <v>235</v>
      </c>
      <c r="C82" s="221">
        <v>75</v>
      </c>
      <c r="D82" s="15">
        <v>43942</v>
      </c>
    </row>
    <row r="83" spans="1:5" s="95" customFormat="1" x14ac:dyDescent="0.25">
      <c r="A83" s="221">
        <v>76</v>
      </c>
      <c r="B83" s="94" t="s">
        <v>235</v>
      </c>
      <c r="C83" s="221">
        <v>80</v>
      </c>
      <c r="D83" s="15">
        <v>43941</v>
      </c>
    </row>
    <row r="84" spans="1:5" s="95" customFormat="1" x14ac:dyDescent="0.25">
      <c r="A84" s="221">
        <v>81</v>
      </c>
      <c r="B84" s="94" t="s">
        <v>235</v>
      </c>
      <c r="C84" s="221">
        <v>85</v>
      </c>
      <c r="D84" s="15">
        <v>43938</v>
      </c>
    </row>
    <row r="85" spans="1:5" s="95" customFormat="1" x14ac:dyDescent="0.25">
      <c r="A85" s="221">
        <v>86</v>
      </c>
      <c r="B85" s="94" t="s">
        <v>235</v>
      </c>
      <c r="C85" s="221">
        <v>90</v>
      </c>
      <c r="D85" s="15">
        <v>43937</v>
      </c>
    </row>
    <row r="86" spans="1:5" s="95" customFormat="1" x14ac:dyDescent="0.25">
      <c r="A86" s="221">
        <v>91</v>
      </c>
      <c r="B86" s="94" t="s">
        <v>235</v>
      </c>
      <c r="C86" s="221">
        <v>95</v>
      </c>
      <c r="D86" s="15">
        <v>43936</v>
      </c>
      <c r="E86" s="155"/>
    </row>
    <row r="87" spans="1:5" s="95" customFormat="1" x14ac:dyDescent="0.25">
      <c r="A87" s="221">
        <v>96</v>
      </c>
      <c r="B87" s="94" t="s">
        <v>235</v>
      </c>
      <c r="C87" s="221">
        <v>0</v>
      </c>
      <c r="D87" s="15">
        <v>43935</v>
      </c>
      <c r="E87" s="155"/>
    </row>
    <row r="88" spans="1:5" x14ac:dyDescent="0.25">
      <c r="A88" s="104">
        <v>0</v>
      </c>
      <c r="D88" s="15">
        <f>+D87</f>
        <v>43935</v>
      </c>
    </row>
    <row r="89" spans="1:5" x14ac:dyDescent="0.25">
      <c r="A89" s="2" t="s">
        <v>24</v>
      </c>
      <c r="B89" s="2"/>
      <c r="C89" s="2"/>
    </row>
    <row r="90" spans="1:5" ht="36" customHeight="1" x14ac:dyDescent="0.25">
      <c r="A90" s="340" t="s">
        <v>195</v>
      </c>
      <c r="B90" s="340"/>
      <c r="C90" s="340"/>
      <c r="D90" s="124" t="s">
        <v>18</v>
      </c>
    </row>
    <row r="91" spans="1:5" x14ac:dyDescent="0.25">
      <c r="A91" s="3">
        <v>0</v>
      </c>
      <c r="B91" s="3"/>
      <c r="C91" s="3"/>
      <c r="D91" s="15">
        <v>43991</v>
      </c>
    </row>
    <row r="92" spans="1:5" x14ac:dyDescent="0.25">
      <c r="A92" s="3">
        <v>9</v>
      </c>
      <c r="B92" s="94"/>
      <c r="C92" s="3"/>
      <c r="D92" s="15">
        <v>43992</v>
      </c>
      <c r="E92" s="106"/>
    </row>
    <row r="93" spans="1:5" x14ac:dyDescent="0.25">
      <c r="A93" s="3">
        <v>8</v>
      </c>
      <c r="B93" s="94"/>
      <c r="C93" s="3"/>
      <c r="D93" s="15">
        <v>43993</v>
      </c>
      <c r="E93" s="106"/>
    </row>
    <row r="94" spans="1:5" x14ac:dyDescent="0.25">
      <c r="A94" s="3">
        <v>7</v>
      </c>
      <c r="B94" s="94"/>
      <c r="C94" s="3"/>
      <c r="D94" s="15">
        <v>43994</v>
      </c>
    </row>
    <row r="95" spans="1:5" x14ac:dyDescent="0.25">
      <c r="A95" s="3">
        <v>6</v>
      </c>
      <c r="B95" s="94"/>
      <c r="C95" s="3"/>
      <c r="D95" s="15">
        <v>43998</v>
      </c>
    </row>
    <row r="96" spans="1:5" x14ac:dyDescent="0.25">
      <c r="A96" s="3">
        <v>5</v>
      </c>
      <c r="B96" s="94"/>
      <c r="C96" s="3"/>
      <c r="D96" s="15">
        <v>43999</v>
      </c>
    </row>
    <row r="97" spans="1:15" x14ac:dyDescent="0.25">
      <c r="A97" s="3">
        <v>4</v>
      </c>
      <c r="B97" s="94"/>
      <c r="C97" s="3"/>
      <c r="D97" s="15">
        <v>44000</v>
      </c>
    </row>
    <row r="98" spans="1:15" x14ac:dyDescent="0.25">
      <c r="A98" s="3">
        <v>3</v>
      </c>
      <c r="B98" s="94"/>
      <c r="C98" s="3"/>
      <c r="D98" s="15">
        <v>44001</v>
      </c>
    </row>
    <row r="99" spans="1:15" x14ac:dyDescent="0.25">
      <c r="A99" s="3">
        <v>2</v>
      </c>
      <c r="B99" s="94"/>
      <c r="C99" s="3"/>
      <c r="D99" s="15">
        <v>44005</v>
      </c>
    </row>
    <row r="100" spans="1:15" x14ac:dyDescent="0.25">
      <c r="A100" s="3">
        <v>1</v>
      </c>
      <c r="B100" s="94"/>
      <c r="C100" s="3"/>
      <c r="D100" s="15">
        <v>44006</v>
      </c>
    </row>
    <row r="103" spans="1:15" ht="27" customHeight="1" x14ac:dyDescent="0.25">
      <c r="A103" s="335" t="s">
        <v>430</v>
      </c>
      <c r="B103" s="335"/>
      <c r="C103" s="335"/>
      <c r="D103" s="335"/>
      <c r="E103" s="335"/>
      <c r="F103" s="335"/>
      <c r="G103" s="335"/>
      <c r="H103" s="335"/>
    </row>
    <row r="104" spans="1:15" ht="25.5" customHeight="1" x14ac:dyDescent="0.25">
      <c r="A104" s="335"/>
      <c r="B104" s="335"/>
      <c r="C104" s="335"/>
      <c r="D104" s="335"/>
      <c r="E104" s="335"/>
      <c r="F104" s="335"/>
      <c r="G104" s="335"/>
      <c r="H104" s="335"/>
    </row>
    <row r="105" spans="1:15" ht="24" customHeight="1" x14ac:dyDescent="0.25">
      <c r="A105" s="335"/>
      <c r="B105" s="335"/>
      <c r="C105" s="335"/>
      <c r="D105" s="335"/>
      <c r="E105" s="335"/>
      <c r="F105" s="335"/>
      <c r="G105" s="335"/>
      <c r="H105" s="335"/>
    </row>
    <row r="106" spans="1:15" ht="63.75" customHeight="1" x14ac:dyDescent="0.25">
      <c r="A106" s="335"/>
      <c r="B106" s="335"/>
      <c r="C106" s="335"/>
      <c r="D106" s="335"/>
      <c r="E106" s="335"/>
      <c r="F106" s="335"/>
      <c r="G106" s="335"/>
      <c r="H106" s="335"/>
    </row>
    <row r="107" spans="1:15" ht="13.5" customHeight="1" x14ac:dyDescent="0.25">
      <c r="A107" s="12"/>
      <c r="B107" s="12"/>
      <c r="C107" s="12"/>
      <c r="D107" s="12"/>
      <c r="E107" s="12"/>
      <c r="F107" s="12"/>
      <c r="G107" s="12"/>
      <c r="H107" s="12"/>
    </row>
    <row r="108" spans="1:15" x14ac:dyDescent="0.25">
      <c r="A108" s="2" t="s">
        <v>33</v>
      </c>
    </row>
    <row r="109" spans="1:15" ht="31.9" customHeight="1" x14ac:dyDescent="0.25">
      <c r="A109" s="338" t="s">
        <v>64</v>
      </c>
      <c r="B109" s="338"/>
      <c r="C109" s="338"/>
      <c r="D109" s="129" t="s">
        <v>18</v>
      </c>
    </row>
    <row r="110" spans="1:15" x14ac:dyDescent="0.25">
      <c r="A110" s="6">
        <v>1</v>
      </c>
      <c r="B110" t="s">
        <v>197</v>
      </c>
      <c r="C110" s="6">
        <v>2</v>
      </c>
      <c r="D110" s="15">
        <v>44125</v>
      </c>
      <c r="N110" s="100"/>
      <c r="O110" s="101"/>
    </row>
    <row r="111" spans="1:15" x14ac:dyDescent="0.25">
      <c r="A111" s="6">
        <v>3</v>
      </c>
      <c r="B111" s="95" t="s">
        <v>197</v>
      </c>
      <c r="C111" s="6">
        <v>4</v>
      </c>
      <c r="D111" s="15">
        <v>44124</v>
      </c>
      <c r="G111" s="6"/>
      <c r="N111" s="100"/>
      <c r="O111" s="101"/>
    </row>
    <row r="112" spans="1:15" x14ac:dyDescent="0.25">
      <c r="A112" s="6">
        <v>5</v>
      </c>
      <c r="B112" s="95" t="s">
        <v>197</v>
      </c>
      <c r="C112" s="6">
        <v>6</v>
      </c>
      <c r="D112" s="15">
        <v>44123</v>
      </c>
      <c r="G112" s="6"/>
      <c r="N112" s="100"/>
      <c r="O112" s="101"/>
    </row>
    <row r="113" spans="1:17" x14ac:dyDescent="0.25">
      <c r="A113" s="6">
        <v>7</v>
      </c>
      <c r="B113" s="95" t="s">
        <v>197</v>
      </c>
      <c r="C113" s="6">
        <v>8</v>
      </c>
      <c r="D113" s="15">
        <v>44120</v>
      </c>
      <c r="H113" s="6"/>
      <c r="N113" s="100"/>
      <c r="O113" s="101"/>
    </row>
    <row r="114" spans="1:17" x14ac:dyDescent="0.25">
      <c r="A114" s="6">
        <v>9</v>
      </c>
      <c r="B114" s="95" t="s">
        <v>197</v>
      </c>
      <c r="C114" s="6">
        <v>10</v>
      </c>
      <c r="D114" s="15">
        <v>44119</v>
      </c>
      <c r="G114" s="6"/>
      <c r="N114" s="100"/>
      <c r="O114" s="101"/>
    </row>
    <row r="115" spans="1:17" x14ac:dyDescent="0.25">
      <c r="A115" s="6">
        <v>11</v>
      </c>
      <c r="B115" s="95" t="s">
        <v>197</v>
      </c>
      <c r="C115" s="6">
        <v>12</v>
      </c>
      <c r="D115" s="15">
        <v>44118</v>
      </c>
      <c r="G115" s="6"/>
      <c r="N115" s="100"/>
      <c r="O115" s="101"/>
    </row>
    <row r="116" spans="1:17" x14ac:dyDescent="0.25">
      <c r="A116" s="6">
        <v>13</v>
      </c>
      <c r="B116" s="95" t="s">
        <v>197</v>
      </c>
      <c r="C116" s="6">
        <v>14</v>
      </c>
      <c r="D116" s="15">
        <v>44117</v>
      </c>
      <c r="G116" s="6"/>
      <c r="N116" s="100"/>
      <c r="O116" s="101"/>
    </row>
    <row r="117" spans="1:17" x14ac:dyDescent="0.25">
      <c r="A117" s="6">
        <v>15</v>
      </c>
      <c r="B117" s="95" t="s">
        <v>197</v>
      </c>
      <c r="C117" s="6">
        <v>16</v>
      </c>
      <c r="D117" s="15">
        <v>44113</v>
      </c>
      <c r="G117" s="6"/>
      <c r="N117" s="100"/>
      <c r="O117" s="101"/>
    </row>
    <row r="118" spans="1:17" x14ac:dyDescent="0.25">
      <c r="A118" s="6">
        <v>17</v>
      </c>
      <c r="B118" s="95" t="s">
        <v>197</v>
      </c>
      <c r="C118" s="6">
        <v>18</v>
      </c>
      <c r="D118" s="15">
        <v>44112</v>
      </c>
      <c r="G118" s="6"/>
      <c r="N118" s="100"/>
      <c r="O118" s="101"/>
    </row>
    <row r="119" spans="1:17" x14ac:dyDescent="0.25">
      <c r="A119" s="6">
        <v>19</v>
      </c>
      <c r="B119" s="95" t="s">
        <v>197</v>
      </c>
      <c r="C119" s="6">
        <v>20</v>
      </c>
      <c r="D119" s="15">
        <v>44111</v>
      </c>
      <c r="G119" s="6"/>
      <c r="N119" s="100"/>
      <c r="O119" s="101"/>
    </row>
    <row r="120" spans="1:17" x14ac:dyDescent="0.25">
      <c r="A120" s="6">
        <v>21</v>
      </c>
      <c r="B120" s="95" t="s">
        <v>197</v>
      </c>
      <c r="C120" s="6">
        <v>22</v>
      </c>
      <c r="D120" s="15">
        <v>44110</v>
      </c>
      <c r="G120" s="6"/>
      <c r="N120" s="100"/>
      <c r="O120" s="101"/>
    </row>
    <row r="121" spans="1:17" x14ac:dyDescent="0.25">
      <c r="A121" s="6">
        <v>23</v>
      </c>
      <c r="B121" s="95" t="s">
        <v>197</v>
      </c>
      <c r="C121" s="6">
        <v>24</v>
      </c>
      <c r="D121" s="15">
        <v>44109</v>
      </c>
      <c r="E121" s="6"/>
      <c r="G121" s="6"/>
      <c r="N121" s="100"/>
      <c r="O121" s="101"/>
    </row>
    <row r="122" spans="1:17" x14ac:dyDescent="0.25">
      <c r="A122" s="6">
        <v>25</v>
      </c>
      <c r="B122" s="95" t="s">
        <v>197</v>
      </c>
      <c r="C122" s="6">
        <v>26</v>
      </c>
      <c r="D122" s="15">
        <v>44106</v>
      </c>
      <c r="E122" s="6"/>
      <c r="G122" s="6"/>
      <c r="N122" s="100"/>
      <c r="O122" s="101"/>
    </row>
    <row r="123" spans="1:17" x14ac:dyDescent="0.25">
      <c r="A123" s="6">
        <v>27</v>
      </c>
      <c r="B123" s="95" t="s">
        <v>197</v>
      </c>
      <c r="C123" s="6">
        <v>28</v>
      </c>
      <c r="D123" s="15">
        <v>44105</v>
      </c>
      <c r="E123" s="6"/>
      <c r="G123" s="6"/>
      <c r="N123" s="100"/>
      <c r="O123" s="101"/>
    </row>
    <row r="124" spans="1:17" x14ac:dyDescent="0.25">
      <c r="A124" s="6">
        <v>29</v>
      </c>
      <c r="B124" s="95" t="s">
        <v>197</v>
      </c>
      <c r="C124" s="6">
        <v>30</v>
      </c>
      <c r="D124" s="15">
        <v>44104</v>
      </c>
      <c r="E124" s="6"/>
      <c r="G124" s="6"/>
      <c r="N124" s="100"/>
      <c r="O124" s="101"/>
      <c r="P124" s="99"/>
      <c r="Q124" s="99"/>
    </row>
    <row r="125" spans="1:17" x14ac:dyDescent="0.25">
      <c r="A125" s="6">
        <v>31</v>
      </c>
      <c r="B125" s="95" t="s">
        <v>197</v>
      </c>
      <c r="C125" s="6">
        <v>32</v>
      </c>
      <c r="D125" s="15">
        <v>44103</v>
      </c>
      <c r="E125" s="6"/>
      <c r="G125" s="6"/>
      <c r="N125" s="100"/>
      <c r="O125" s="101"/>
      <c r="P125" s="99"/>
      <c r="Q125" s="99"/>
    </row>
    <row r="126" spans="1:17" x14ac:dyDescent="0.25">
      <c r="A126" s="6">
        <v>33</v>
      </c>
      <c r="B126" s="95" t="s">
        <v>197</v>
      </c>
      <c r="C126" s="6">
        <v>34</v>
      </c>
      <c r="D126" s="15">
        <v>44102</v>
      </c>
      <c r="E126" s="6"/>
      <c r="F126" s="99"/>
      <c r="G126" s="6"/>
      <c r="I126" s="105"/>
      <c r="N126" s="100"/>
      <c r="O126" s="101"/>
      <c r="P126" s="99"/>
      <c r="Q126" s="99"/>
    </row>
    <row r="127" spans="1:17" x14ac:dyDescent="0.25">
      <c r="A127" s="6">
        <v>35</v>
      </c>
      <c r="B127" s="95" t="s">
        <v>197</v>
      </c>
      <c r="C127" s="6">
        <v>36</v>
      </c>
      <c r="D127" s="15">
        <v>44099</v>
      </c>
      <c r="E127" s="6"/>
      <c r="F127" s="99"/>
      <c r="G127" s="6"/>
      <c r="N127" s="100"/>
      <c r="O127" s="101"/>
      <c r="P127" s="99"/>
      <c r="Q127" s="99"/>
    </row>
    <row r="128" spans="1:17" x14ac:dyDescent="0.25">
      <c r="A128" s="6">
        <v>37</v>
      </c>
      <c r="B128" s="95" t="s">
        <v>197</v>
      </c>
      <c r="C128" s="6">
        <v>38</v>
      </c>
      <c r="D128" s="15">
        <v>44098</v>
      </c>
      <c r="E128" s="6"/>
      <c r="F128" s="99"/>
      <c r="G128" s="6"/>
      <c r="N128" s="100"/>
      <c r="O128" s="101"/>
      <c r="P128" s="99"/>
      <c r="Q128" s="99"/>
    </row>
    <row r="129" spans="1:17" x14ac:dyDescent="0.25">
      <c r="A129" s="6">
        <v>39</v>
      </c>
      <c r="B129" s="95" t="s">
        <v>197</v>
      </c>
      <c r="C129" s="6">
        <v>40</v>
      </c>
      <c r="D129" s="15">
        <v>44097</v>
      </c>
      <c r="E129" s="6"/>
      <c r="F129" s="99"/>
      <c r="G129" s="105"/>
      <c r="H129" s="6"/>
      <c r="N129" s="100"/>
      <c r="O129" s="101"/>
      <c r="P129" s="99"/>
      <c r="Q129" s="99"/>
    </row>
    <row r="130" spans="1:17" s="95" customFormat="1" x14ac:dyDescent="0.25">
      <c r="A130" s="6">
        <v>41</v>
      </c>
      <c r="B130" s="95" t="s">
        <v>197</v>
      </c>
      <c r="C130" s="6">
        <v>42</v>
      </c>
      <c r="D130" s="15">
        <v>44096</v>
      </c>
      <c r="E130" s="6"/>
      <c r="F130" s="99"/>
      <c r="G130" s="6"/>
      <c r="N130" s="100"/>
      <c r="O130" s="101"/>
      <c r="P130" s="99"/>
      <c r="Q130" s="99"/>
    </row>
    <row r="131" spans="1:17" s="95" customFormat="1" x14ac:dyDescent="0.25">
      <c r="A131" s="6">
        <v>43</v>
      </c>
      <c r="B131" s="95" t="s">
        <v>197</v>
      </c>
      <c r="C131" s="6">
        <v>44</v>
      </c>
      <c r="D131" s="15">
        <v>44095</v>
      </c>
      <c r="E131" s="6"/>
      <c r="F131" s="99"/>
      <c r="G131" s="105"/>
      <c r="H131" s="6"/>
      <c r="N131" s="100"/>
      <c r="O131" s="101"/>
      <c r="P131" s="99"/>
      <c r="Q131" s="99"/>
    </row>
    <row r="132" spans="1:17" s="95" customFormat="1" x14ac:dyDescent="0.25">
      <c r="A132" s="6">
        <v>45</v>
      </c>
      <c r="B132" s="95" t="s">
        <v>197</v>
      </c>
      <c r="C132" s="6">
        <v>46</v>
      </c>
      <c r="D132" s="15">
        <v>44092</v>
      </c>
      <c r="E132" s="6"/>
      <c r="F132" s="99"/>
      <c r="G132" s="105"/>
      <c r="H132" s="6"/>
      <c r="N132" s="100"/>
      <c r="O132" s="101"/>
      <c r="P132" s="99"/>
      <c r="Q132" s="99"/>
    </row>
    <row r="133" spans="1:17" s="95" customFormat="1" x14ac:dyDescent="0.25">
      <c r="A133" s="6">
        <v>47</v>
      </c>
      <c r="B133" s="95" t="s">
        <v>197</v>
      </c>
      <c r="C133" s="6">
        <v>48</v>
      </c>
      <c r="D133" s="15">
        <v>44091</v>
      </c>
      <c r="E133" s="6"/>
      <c r="F133" s="99"/>
      <c r="G133" s="105"/>
      <c r="H133" s="6"/>
      <c r="N133" s="100"/>
      <c r="O133" s="101"/>
      <c r="P133" s="99"/>
      <c r="Q133" s="99"/>
    </row>
    <row r="134" spans="1:17" s="95" customFormat="1" x14ac:dyDescent="0.25">
      <c r="A134" s="6">
        <v>49</v>
      </c>
      <c r="B134" s="95" t="s">
        <v>197</v>
      </c>
      <c r="C134" s="6">
        <v>50</v>
      </c>
      <c r="D134" s="15">
        <v>44090</v>
      </c>
      <c r="E134" s="6"/>
      <c r="F134" s="99"/>
      <c r="G134" s="6"/>
      <c r="I134" s="6"/>
      <c r="N134" s="100"/>
      <c r="O134" s="101"/>
      <c r="P134" s="99"/>
      <c r="Q134" s="99"/>
    </row>
    <row r="135" spans="1:17" s="95" customFormat="1" x14ac:dyDescent="0.25">
      <c r="A135" s="6">
        <v>51</v>
      </c>
      <c r="B135" s="95" t="s">
        <v>197</v>
      </c>
      <c r="C135" s="6">
        <v>52</v>
      </c>
      <c r="D135" s="15">
        <v>44089</v>
      </c>
      <c r="E135" s="6"/>
      <c r="F135" s="99"/>
      <c r="G135" s="6"/>
      <c r="H135" s="99"/>
      <c r="I135" s="105"/>
      <c r="N135" s="100"/>
      <c r="O135" s="101"/>
      <c r="P135" s="99"/>
      <c r="Q135" s="99"/>
    </row>
    <row r="136" spans="1:17" s="95" customFormat="1" x14ac:dyDescent="0.25">
      <c r="A136" s="6">
        <v>53</v>
      </c>
      <c r="B136" s="95" t="s">
        <v>197</v>
      </c>
      <c r="C136" s="6">
        <v>54</v>
      </c>
      <c r="D136" s="15">
        <v>44088</v>
      </c>
      <c r="E136" s="6"/>
      <c r="F136" s="99"/>
      <c r="G136" s="6"/>
      <c r="H136" s="105"/>
      <c r="N136" s="100"/>
      <c r="O136" s="101"/>
      <c r="P136" s="99"/>
      <c r="Q136" s="99"/>
    </row>
    <row r="137" spans="1:17" s="95" customFormat="1" x14ac:dyDescent="0.25">
      <c r="A137" s="6">
        <v>55</v>
      </c>
      <c r="B137" s="95" t="s">
        <v>197</v>
      </c>
      <c r="C137" s="6">
        <v>56</v>
      </c>
      <c r="D137" s="15">
        <v>44085</v>
      </c>
      <c r="E137" s="6"/>
      <c r="F137" s="99"/>
      <c r="G137" s="6"/>
      <c r="H137" s="105"/>
      <c r="N137" s="100"/>
      <c r="O137" s="101"/>
      <c r="P137" s="99"/>
      <c r="Q137" s="99"/>
    </row>
    <row r="138" spans="1:17" s="95" customFormat="1" x14ac:dyDescent="0.25">
      <c r="A138" s="6">
        <v>57</v>
      </c>
      <c r="B138" s="95" t="s">
        <v>197</v>
      </c>
      <c r="C138" s="6">
        <v>58</v>
      </c>
      <c r="D138" s="15">
        <v>44084</v>
      </c>
      <c r="E138" s="6"/>
      <c r="F138" s="99"/>
      <c r="G138" s="6"/>
      <c r="H138" s="105"/>
      <c r="N138" s="100"/>
      <c r="O138" s="101"/>
      <c r="P138" s="99"/>
      <c r="Q138" s="99"/>
    </row>
    <row r="139" spans="1:17" s="95" customFormat="1" x14ac:dyDescent="0.25">
      <c r="A139" s="6">
        <v>59</v>
      </c>
      <c r="B139" s="95" t="s">
        <v>197</v>
      </c>
      <c r="C139" s="6">
        <v>60</v>
      </c>
      <c r="D139" s="15">
        <v>44083</v>
      </c>
      <c r="E139" s="6"/>
      <c r="F139" s="99"/>
      <c r="G139" s="6"/>
      <c r="N139" s="100"/>
      <c r="O139" s="101"/>
      <c r="P139" s="99"/>
      <c r="Q139" s="99"/>
    </row>
    <row r="140" spans="1:17" s="95" customFormat="1" x14ac:dyDescent="0.25">
      <c r="A140" s="6">
        <v>61</v>
      </c>
      <c r="B140" s="95" t="s">
        <v>197</v>
      </c>
      <c r="C140" s="6">
        <v>62</v>
      </c>
      <c r="D140" s="15">
        <v>44082</v>
      </c>
      <c r="E140" s="6"/>
      <c r="F140" s="99"/>
      <c r="G140" s="6"/>
      <c r="H140" s="105"/>
      <c r="N140" s="100"/>
      <c r="O140" s="101"/>
      <c r="P140" s="99"/>
      <c r="Q140" s="99"/>
    </row>
    <row r="141" spans="1:17" s="95" customFormat="1" x14ac:dyDescent="0.25">
      <c r="A141" s="6">
        <v>63</v>
      </c>
      <c r="B141" s="95" t="s">
        <v>197</v>
      </c>
      <c r="C141" s="6">
        <v>64</v>
      </c>
      <c r="D141" s="15">
        <v>44081</v>
      </c>
      <c r="E141" s="6"/>
      <c r="F141" s="99"/>
      <c r="G141" s="105"/>
      <c r="N141" s="100"/>
      <c r="O141" s="101"/>
      <c r="P141" s="99"/>
      <c r="Q141" s="99"/>
    </row>
    <row r="142" spans="1:17" s="95" customFormat="1" x14ac:dyDescent="0.25">
      <c r="A142" s="6">
        <v>65</v>
      </c>
      <c r="B142" s="95" t="s">
        <v>197</v>
      </c>
      <c r="C142" s="6">
        <v>66</v>
      </c>
      <c r="D142" s="15">
        <v>44078</v>
      </c>
      <c r="E142" s="6"/>
      <c r="F142" s="99"/>
      <c r="G142" s="105"/>
      <c r="N142" s="100"/>
      <c r="O142" s="101"/>
      <c r="P142" s="99"/>
      <c r="Q142" s="99"/>
    </row>
    <row r="143" spans="1:17" s="95" customFormat="1" x14ac:dyDescent="0.25">
      <c r="A143" s="6">
        <v>67</v>
      </c>
      <c r="B143" s="95" t="s">
        <v>197</v>
      </c>
      <c r="C143" s="6">
        <v>68</v>
      </c>
      <c r="D143" s="15">
        <v>44077</v>
      </c>
      <c r="E143" s="6"/>
      <c r="F143" s="99"/>
      <c r="G143" s="105"/>
      <c r="I143" s="15"/>
      <c r="N143" s="100"/>
      <c r="O143" s="101"/>
      <c r="P143" s="99"/>
      <c r="Q143" s="99"/>
    </row>
    <row r="144" spans="1:17" s="95" customFormat="1" x14ac:dyDescent="0.25">
      <c r="A144" s="6">
        <v>69</v>
      </c>
      <c r="B144" s="95" t="s">
        <v>197</v>
      </c>
      <c r="C144" s="6">
        <v>70</v>
      </c>
      <c r="D144" s="15">
        <v>44076</v>
      </c>
      <c r="E144" s="105"/>
      <c r="F144" s="99"/>
      <c r="G144" s="105"/>
      <c r="N144" s="100"/>
      <c r="O144" s="101"/>
      <c r="P144" s="99"/>
      <c r="Q144" s="99"/>
    </row>
    <row r="145" spans="1:17" s="95" customFormat="1" x14ac:dyDescent="0.25">
      <c r="A145" s="6">
        <v>71</v>
      </c>
      <c r="B145" s="95" t="s">
        <v>197</v>
      </c>
      <c r="C145" s="6">
        <v>72</v>
      </c>
      <c r="D145" s="15">
        <v>44075</v>
      </c>
      <c r="E145" s="105"/>
      <c r="F145" s="99"/>
      <c r="G145" s="105"/>
      <c r="N145" s="100"/>
      <c r="O145" s="101"/>
      <c r="P145" s="99"/>
      <c r="Q145" s="99"/>
    </row>
    <row r="146" spans="1:17" s="95" customFormat="1" x14ac:dyDescent="0.25">
      <c r="A146" s="6">
        <v>73</v>
      </c>
      <c r="B146" s="95" t="s">
        <v>197</v>
      </c>
      <c r="C146" s="6">
        <v>74</v>
      </c>
      <c r="D146" s="15">
        <v>44074</v>
      </c>
      <c r="E146" s="105"/>
      <c r="F146" s="99"/>
      <c r="G146" s="105"/>
      <c r="N146" s="100"/>
      <c r="O146" s="101"/>
      <c r="P146" s="99"/>
      <c r="Q146" s="99"/>
    </row>
    <row r="147" spans="1:17" s="95" customFormat="1" x14ac:dyDescent="0.25">
      <c r="A147" s="6">
        <v>75</v>
      </c>
      <c r="B147" s="95" t="s">
        <v>197</v>
      </c>
      <c r="C147" s="6">
        <v>76</v>
      </c>
      <c r="D147" s="15">
        <v>44071</v>
      </c>
      <c r="E147" s="105"/>
      <c r="F147" s="99"/>
      <c r="G147" s="105"/>
      <c r="N147" s="105"/>
      <c r="O147" s="105"/>
      <c r="P147" s="99"/>
      <c r="Q147" s="99"/>
    </row>
    <row r="148" spans="1:17" s="95" customFormat="1" x14ac:dyDescent="0.25">
      <c r="A148" s="6">
        <v>77</v>
      </c>
      <c r="B148" s="95" t="s">
        <v>197</v>
      </c>
      <c r="C148" s="6">
        <v>78</v>
      </c>
      <c r="D148" s="15">
        <v>44070</v>
      </c>
      <c r="E148" s="105"/>
      <c r="F148" s="99"/>
      <c r="G148" s="105"/>
      <c r="N148" s="105"/>
      <c r="O148" s="105"/>
      <c r="P148" s="99"/>
      <c r="Q148" s="99"/>
    </row>
    <row r="149" spans="1:17" s="95" customFormat="1" x14ac:dyDescent="0.25">
      <c r="A149" s="6">
        <v>79</v>
      </c>
      <c r="B149" s="95" t="s">
        <v>197</v>
      </c>
      <c r="C149" s="6">
        <v>80</v>
      </c>
      <c r="D149" s="15">
        <v>44069</v>
      </c>
      <c r="E149" s="99"/>
      <c r="G149" s="105"/>
      <c r="N149" s="105"/>
      <c r="O149" s="105"/>
      <c r="P149" s="99"/>
      <c r="Q149" s="99"/>
    </row>
    <row r="150" spans="1:17" s="95" customFormat="1" x14ac:dyDescent="0.25">
      <c r="A150" s="6">
        <v>81</v>
      </c>
      <c r="B150" s="95" t="s">
        <v>197</v>
      </c>
      <c r="C150" s="6">
        <v>82</v>
      </c>
      <c r="D150" s="15">
        <v>44068</v>
      </c>
      <c r="E150" s="99"/>
      <c r="G150" s="105"/>
      <c r="N150" s="105"/>
      <c r="O150" s="105"/>
      <c r="P150" s="99"/>
      <c r="Q150" s="99"/>
    </row>
    <row r="151" spans="1:17" s="95" customFormat="1" x14ac:dyDescent="0.25">
      <c r="A151" s="6">
        <v>83</v>
      </c>
      <c r="B151" s="95" t="s">
        <v>197</v>
      </c>
      <c r="C151" s="6">
        <v>84</v>
      </c>
      <c r="D151" s="15">
        <v>44067</v>
      </c>
      <c r="E151" s="99"/>
      <c r="G151" s="105"/>
      <c r="N151" s="105"/>
      <c r="O151" s="105"/>
      <c r="P151" s="99"/>
      <c r="Q151" s="99"/>
    </row>
    <row r="152" spans="1:17" s="95" customFormat="1" x14ac:dyDescent="0.25">
      <c r="A152" s="6">
        <v>85</v>
      </c>
      <c r="B152" s="95" t="s">
        <v>197</v>
      </c>
      <c r="C152" s="6">
        <v>86</v>
      </c>
      <c r="D152" s="15">
        <v>44064</v>
      </c>
      <c r="E152" s="99"/>
      <c r="G152" s="105"/>
      <c r="N152" s="105"/>
      <c r="O152" s="105"/>
      <c r="P152" s="99"/>
      <c r="Q152" s="99"/>
    </row>
    <row r="153" spans="1:17" s="95" customFormat="1" x14ac:dyDescent="0.25">
      <c r="A153" s="6">
        <v>87</v>
      </c>
      <c r="B153" s="95" t="s">
        <v>197</v>
      </c>
      <c r="C153" s="6">
        <v>88</v>
      </c>
      <c r="D153" s="15">
        <v>44063</v>
      </c>
      <c r="E153" s="99"/>
      <c r="G153" s="105"/>
      <c r="N153" s="105"/>
      <c r="O153" s="105"/>
      <c r="P153" s="99"/>
      <c r="Q153" s="99"/>
    </row>
    <row r="154" spans="1:17" s="95" customFormat="1" x14ac:dyDescent="0.25">
      <c r="A154" s="6">
        <v>89</v>
      </c>
      <c r="B154" s="95" t="s">
        <v>197</v>
      </c>
      <c r="C154" s="6">
        <v>90</v>
      </c>
      <c r="D154" s="15">
        <v>44062</v>
      </c>
      <c r="E154" s="99"/>
      <c r="G154" s="105"/>
      <c r="N154" s="105"/>
      <c r="O154" s="105"/>
      <c r="P154" s="99"/>
      <c r="Q154" s="99"/>
    </row>
    <row r="155" spans="1:17" s="95" customFormat="1" x14ac:dyDescent="0.25">
      <c r="A155" s="6">
        <v>91</v>
      </c>
      <c r="B155" s="95" t="s">
        <v>197</v>
      </c>
      <c r="C155" s="6">
        <v>92</v>
      </c>
      <c r="D155" s="15">
        <v>44061</v>
      </c>
      <c r="E155" s="99"/>
      <c r="G155" s="105"/>
      <c r="N155" s="105"/>
      <c r="O155" s="105"/>
      <c r="P155" s="99"/>
      <c r="Q155" s="99"/>
    </row>
    <row r="156" spans="1:17" s="95" customFormat="1" x14ac:dyDescent="0.25">
      <c r="A156" s="6">
        <v>93</v>
      </c>
      <c r="B156" s="95" t="s">
        <v>197</v>
      </c>
      <c r="C156" s="6">
        <v>94</v>
      </c>
      <c r="D156" s="15">
        <v>44057</v>
      </c>
      <c r="E156" s="99"/>
      <c r="F156" s="99"/>
      <c r="H156" s="105"/>
      <c r="N156" s="105"/>
      <c r="O156" s="105"/>
      <c r="P156" s="99"/>
      <c r="Q156" s="99"/>
    </row>
    <row r="157" spans="1:17" s="95" customFormat="1" x14ac:dyDescent="0.25">
      <c r="A157" s="6">
        <v>95</v>
      </c>
      <c r="B157" s="95" t="s">
        <v>197</v>
      </c>
      <c r="C157" s="6">
        <v>96</v>
      </c>
      <c r="D157" s="15">
        <v>44056</v>
      </c>
      <c r="E157" s="99"/>
      <c r="G157" s="105"/>
      <c r="N157" s="105"/>
      <c r="O157" s="105"/>
      <c r="P157" s="99"/>
      <c r="Q157" s="99"/>
    </row>
    <row r="158" spans="1:17" s="95" customFormat="1" x14ac:dyDescent="0.25">
      <c r="A158" s="6">
        <v>97</v>
      </c>
      <c r="B158" s="95" t="s">
        <v>197</v>
      </c>
      <c r="C158" s="6">
        <v>98</v>
      </c>
      <c r="D158" s="15">
        <v>44055</v>
      </c>
      <c r="E158" s="99"/>
      <c r="G158" s="105"/>
      <c r="N158" s="105"/>
      <c r="O158" s="105"/>
      <c r="P158" s="99"/>
      <c r="Q158" s="99"/>
    </row>
    <row r="159" spans="1:17" x14ac:dyDescent="0.25">
      <c r="A159" s="6">
        <v>99</v>
      </c>
      <c r="B159" s="95" t="s">
        <v>197</v>
      </c>
      <c r="C159" s="6">
        <v>0</v>
      </c>
      <c r="D159" s="15">
        <v>44054</v>
      </c>
      <c r="N159" s="105"/>
      <c r="O159" s="105"/>
      <c r="P159" s="99"/>
      <c r="Q159" s="99"/>
    </row>
    <row r="160" spans="1:17" s="96" customFormat="1" x14ac:dyDescent="0.25">
      <c r="A160" s="6">
        <v>0</v>
      </c>
      <c r="C160" s="6"/>
      <c r="D160" s="15">
        <f>+D159</f>
        <v>44054</v>
      </c>
    </row>
    <row r="161" spans="1:9" s="96" customFormat="1" x14ac:dyDescent="0.25">
      <c r="A161" s="341" t="s">
        <v>337</v>
      </c>
      <c r="B161" s="341"/>
      <c r="C161" s="341"/>
      <c r="D161" s="341"/>
      <c r="E161" s="341"/>
      <c r="F161" s="341"/>
      <c r="G161" s="341"/>
      <c r="H161" s="341"/>
      <c r="I161" s="341"/>
    </row>
    <row r="162" spans="1:9" s="96" customFormat="1" x14ac:dyDescent="0.25">
      <c r="A162" s="341"/>
      <c r="B162" s="341"/>
      <c r="C162" s="341"/>
      <c r="D162" s="341"/>
      <c r="E162" s="341"/>
      <c r="F162" s="341"/>
      <c r="G162" s="341"/>
      <c r="H162" s="341"/>
      <c r="I162" s="341"/>
    </row>
    <row r="163" spans="1:9" s="96" customFormat="1" x14ac:dyDescent="0.25">
      <c r="A163" s="341"/>
      <c r="B163" s="341"/>
      <c r="C163" s="341"/>
      <c r="D163" s="341"/>
      <c r="E163" s="341"/>
      <c r="F163" s="341"/>
      <c r="G163" s="341"/>
      <c r="H163" s="341"/>
      <c r="I163" s="341"/>
    </row>
    <row r="164" spans="1:9" s="96" customFormat="1" x14ac:dyDescent="0.25">
      <c r="A164" s="130"/>
      <c r="B164" s="131"/>
      <c r="C164" s="130"/>
      <c r="D164" s="132"/>
      <c r="E164" s="131"/>
      <c r="F164" s="131"/>
      <c r="G164" s="131"/>
      <c r="H164" s="131"/>
      <c r="I164" s="131"/>
    </row>
    <row r="165" spans="1:9" s="96" customFormat="1" x14ac:dyDescent="0.25">
      <c r="A165" s="133" t="s">
        <v>198</v>
      </c>
      <c r="B165" s="133"/>
      <c r="C165" s="133"/>
      <c r="D165" s="131"/>
      <c r="E165" s="131"/>
      <c r="F165" s="131"/>
      <c r="G165" s="131"/>
      <c r="H165" s="131"/>
      <c r="I165" s="131"/>
    </row>
    <row r="166" spans="1:9" s="96" customFormat="1" ht="60" x14ac:dyDescent="0.25">
      <c r="A166" s="128" t="s">
        <v>19</v>
      </c>
      <c r="B166" s="128"/>
      <c r="C166" s="128"/>
      <c r="D166" s="128" t="s">
        <v>18</v>
      </c>
      <c r="E166" s="156"/>
      <c r="F166" s="131"/>
      <c r="G166" s="131"/>
      <c r="H166" s="131"/>
      <c r="I166" s="131"/>
    </row>
    <row r="167" spans="1:9" s="96" customFormat="1" x14ac:dyDescent="0.25">
      <c r="A167" s="162">
        <v>0</v>
      </c>
      <c r="B167" s="134"/>
      <c r="C167" s="134"/>
      <c r="D167" s="163" t="s">
        <v>505</v>
      </c>
      <c r="E167" s="155"/>
      <c r="F167" s="131"/>
      <c r="G167" s="131"/>
      <c r="H167" s="131"/>
      <c r="I167" s="131"/>
    </row>
    <row r="168" spans="1:9" s="96" customFormat="1" x14ac:dyDescent="0.25">
      <c r="A168" s="162">
        <v>9</v>
      </c>
      <c r="B168" s="134"/>
      <c r="C168" s="134"/>
      <c r="D168" s="163" t="s">
        <v>505</v>
      </c>
      <c r="E168" s="155"/>
      <c r="F168" s="131"/>
      <c r="G168" s="131"/>
      <c r="H168" s="131"/>
      <c r="I168" s="131"/>
    </row>
    <row r="169" spans="1:9" s="96" customFormat="1" x14ac:dyDescent="0.25">
      <c r="A169" s="162">
        <v>8</v>
      </c>
      <c r="B169" s="134"/>
      <c r="C169" s="134"/>
      <c r="D169" s="163" t="s">
        <v>505</v>
      </c>
      <c r="E169" s="131"/>
      <c r="F169" s="131"/>
      <c r="G169" s="131"/>
      <c r="H169" s="131"/>
      <c r="I169" s="131"/>
    </row>
    <row r="170" spans="1:9" s="96" customFormat="1" x14ac:dyDescent="0.25">
      <c r="A170" s="162">
        <v>7</v>
      </c>
      <c r="B170" s="134"/>
      <c r="C170" s="134"/>
      <c r="D170" s="163" t="s">
        <v>505</v>
      </c>
      <c r="E170" s="131"/>
      <c r="F170" s="131"/>
      <c r="G170" s="131"/>
      <c r="H170" s="131"/>
      <c r="I170" s="131"/>
    </row>
    <row r="171" spans="1:9" s="96" customFormat="1" x14ac:dyDescent="0.25">
      <c r="A171" s="162">
        <v>6</v>
      </c>
      <c r="B171" s="134"/>
      <c r="C171" s="134"/>
      <c r="D171" s="163" t="s">
        <v>505</v>
      </c>
      <c r="E171" s="131"/>
      <c r="F171" s="131"/>
      <c r="G171" s="131"/>
      <c r="H171" s="131"/>
      <c r="I171" s="131"/>
    </row>
    <row r="172" spans="1:9" s="96" customFormat="1" x14ac:dyDescent="0.25">
      <c r="A172" s="162">
        <v>5</v>
      </c>
      <c r="B172" s="134"/>
      <c r="C172" s="134"/>
      <c r="D172" s="163" t="s">
        <v>505</v>
      </c>
      <c r="E172" s="131"/>
      <c r="F172" s="131"/>
      <c r="G172" s="131"/>
      <c r="H172" s="131"/>
      <c r="I172" s="131"/>
    </row>
    <row r="173" spans="1:9" s="96" customFormat="1" x14ac:dyDescent="0.25">
      <c r="A173" s="162">
        <v>4</v>
      </c>
      <c r="B173" s="134"/>
      <c r="C173" s="134"/>
      <c r="D173" s="163" t="s">
        <v>505</v>
      </c>
      <c r="E173" s="131"/>
      <c r="F173" s="131"/>
      <c r="G173" s="131"/>
      <c r="H173" s="131"/>
      <c r="I173" s="131"/>
    </row>
    <row r="174" spans="1:9" s="96" customFormat="1" x14ac:dyDescent="0.25">
      <c r="A174" s="162">
        <v>3</v>
      </c>
      <c r="B174" s="134"/>
      <c r="C174" s="134"/>
      <c r="D174" s="163" t="s">
        <v>505</v>
      </c>
      <c r="E174" s="131"/>
      <c r="F174" s="131"/>
      <c r="G174" s="131"/>
      <c r="H174" s="131"/>
      <c r="I174" s="131"/>
    </row>
    <row r="175" spans="1:9" s="96" customFormat="1" x14ac:dyDescent="0.25">
      <c r="A175" s="162">
        <v>2</v>
      </c>
      <c r="B175" s="134"/>
      <c r="C175" s="134"/>
      <c r="D175" s="163" t="s">
        <v>505</v>
      </c>
      <c r="E175" s="131"/>
      <c r="F175" s="131"/>
      <c r="G175" s="131"/>
      <c r="H175" s="131"/>
      <c r="I175" s="131"/>
    </row>
    <row r="176" spans="1:9" s="96" customFormat="1" x14ac:dyDescent="0.25">
      <c r="A176" s="162">
        <v>1</v>
      </c>
      <c r="B176" s="134"/>
      <c r="C176" s="134"/>
      <c r="D176" s="163" t="s">
        <v>505</v>
      </c>
      <c r="E176" s="131"/>
      <c r="F176" s="131"/>
      <c r="G176" s="131"/>
      <c r="H176" s="131"/>
      <c r="I176" s="131"/>
    </row>
    <row r="177" spans="1:9" s="96" customFormat="1" x14ac:dyDescent="0.25">
      <c r="A177" s="130"/>
      <c r="B177" s="131"/>
      <c r="C177" s="130"/>
      <c r="D177" s="132"/>
      <c r="E177" s="131"/>
      <c r="F177" s="131"/>
      <c r="G177" s="131"/>
      <c r="H177" s="131"/>
      <c r="I177" s="131"/>
    </row>
    <row r="178" spans="1:9" s="96" customFormat="1" x14ac:dyDescent="0.25">
      <c r="A178" s="133" t="s">
        <v>199</v>
      </c>
      <c r="B178" s="133"/>
      <c r="C178" s="133"/>
      <c r="D178" s="131"/>
      <c r="E178" s="131"/>
      <c r="F178" s="131"/>
      <c r="G178" s="131"/>
      <c r="H178" s="131"/>
      <c r="I178" s="131"/>
    </row>
    <row r="179" spans="1:9" s="96" customFormat="1" ht="26.25" customHeight="1" x14ac:dyDescent="0.25">
      <c r="A179" s="342" t="s">
        <v>195</v>
      </c>
      <c r="B179" s="342"/>
      <c r="C179" s="342"/>
      <c r="D179" s="128" t="s">
        <v>18</v>
      </c>
      <c r="E179" s="131"/>
      <c r="F179" s="131"/>
      <c r="G179" s="131"/>
      <c r="H179" s="131"/>
      <c r="I179" s="131"/>
    </row>
    <row r="180" spans="1:9" s="96" customFormat="1" x14ac:dyDescent="0.25">
      <c r="A180" s="162">
        <v>0</v>
      </c>
      <c r="B180" s="134"/>
      <c r="C180" s="134"/>
      <c r="D180" s="163" t="s">
        <v>505</v>
      </c>
      <c r="E180" s="131"/>
      <c r="F180" s="131"/>
      <c r="G180" s="131"/>
      <c r="H180" s="131"/>
      <c r="I180" s="131"/>
    </row>
    <row r="181" spans="1:9" s="96" customFormat="1" x14ac:dyDescent="0.25">
      <c r="A181" s="162">
        <v>9</v>
      </c>
      <c r="B181" s="134"/>
      <c r="C181" s="134"/>
      <c r="D181" s="163" t="s">
        <v>505</v>
      </c>
      <c r="E181" s="131"/>
      <c r="F181" s="131"/>
      <c r="G181" s="131"/>
      <c r="H181" s="131"/>
      <c r="I181" s="131"/>
    </row>
    <row r="182" spans="1:9" s="96" customFormat="1" x14ac:dyDescent="0.25">
      <c r="A182" s="162">
        <v>8</v>
      </c>
      <c r="B182" s="134"/>
      <c r="C182" s="134"/>
      <c r="D182" s="163" t="s">
        <v>505</v>
      </c>
      <c r="E182" s="131"/>
      <c r="F182" s="131"/>
      <c r="G182" s="131"/>
      <c r="H182" s="131"/>
      <c r="I182" s="131"/>
    </row>
    <row r="183" spans="1:9" s="96" customFormat="1" x14ac:dyDescent="0.25">
      <c r="A183" s="162">
        <v>7</v>
      </c>
      <c r="B183" s="134"/>
      <c r="C183" s="134"/>
      <c r="D183" s="163" t="s">
        <v>505</v>
      </c>
      <c r="E183" s="131"/>
      <c r="F183" s="131"/>
      <c r="G183" s="131"/>
      <c r="H183" s="131"/>
      <c r="I183" s="131"/>
    </row>
    <row r="184" spans="1:9" s="96" customFormat="1" x14ac:dyDescent="0.25">
      <c r="A184" s="162">
        <v>6</v>
      </c>
      <c r="B184" s="134"/>
      <c r="C184" s="134"/>
      <c r="D184" s="163" t="s">
        <v>505</v>
      </c>
      <c r="E184" s="131"/>
      <c r="F184" s="131"/>
      <c r="G184" s="131"/>
      <c r="H184" s="131"/>
      <c r="I184" s="131"/>
    </row>
    <row r="185" spans="1:9" s="96" customFormat="1" x14ac:dyDescent="0.25">
      <c r="A185" s="162">
        <v>5</v>
      </c>
      <c r="B185" s="134"/>
      <c r="C185" s="134"/>
      <c r="D185" s="163" t="s">
        <v>505</v>
      </c>
      <c r="E185" s="131"/>
      <c r="F185" s="131"/>
      <c r="G185" s="131"/>
      <c r="H185" s="131"/>
      <c r="I185" s="131"/>
    </row>
    <row r="186" spans="1:9" s="96" customFormat="1" x14ac:dyDescent="0.25">
      <c r="A186" s="162">
        <v>4</v>
      </c>
      <c r="B186" s="134"/>
      <c r="C186" s="134"/>
      <c r="D186" s="163" t="s">
        <v>505</v>
      </c>
      <c r="E186" s="131"/>
      <c r="F186" s="131"/>
      <c r="G186" s="131"/>
      <c r="H186" s="131"/>
      <c r="I186" s="131"/>
    </row>
    <row r="187" spans="1:9" s="96" customFormat="1" x14ac:dyDescent="0.25">
      <c r="A187" s="162">
        <v>3</v>
      </c>
      <c r="B187" s="134"/>
      <c r="C187" s="134"/>
      <c r="D187" s="163" t="s">
        <v>505</v>
      </c>
      <c r="E187" s="131"/>
      <c r="F187" s="131"/>
      <c r="G187" s="131"/>
      <c r="H187" s="131"/>
      <c r="I187" s="131"/>
    </row>
    <row r="188" spans="1:9" s="96" customFormat="1" x14ac:dyDescent="0.25">
      <c r="A188" s="162">
        <v>2</v>
      </c>
      <c r="B188" s="134"/>
      <c r="C188" s="134"/>
      <c r="D188" s="163" t="s">
        <v>505</v>
      </c>
      <c r="E188" s="131"/>
      <c r="F188" s="131"/>
      <c r="G188" s="131"/>
      <c r="H188" s="131"/>
      <c r="I188" s="131"/>
    </row>
    <row r="189" spans="1:9" s="96" customFormat="1" x14ac:dyDescent="0.25">
      <c r="A189" s="162">
        <v>1</v>
      </c>
      <c r="B189" s="134"/>
      <c r="C189" s="134"/>
      <c r="D189" s="163" t="s">
        <v>505</v>
      </c>
      <c r="E189" s="131"/>
      <c r="F189" s="131"/>
      <c r="G189" s="131"/>
      <c r="H189" s="131"/>
      <c r="I189" s="131"/>
    </row>
    <row r="190" spans="1:9" s="96" customFormat="1" x14ac:dyDescent="0.25">
      <c r="A190" s="134"/>
      <c r="B190" s="134"/>
      <c r="C190" s="134"/>
      <c r="D190" s="132"/>
      <c r="E190" s="131"/>
      <c r="F190" s="131"/>
      <c r="G190" s="131"/>
      <c r="H190" s="131"/>
      <c r="I190" s="131"/>
    </row>
    <row r="191" spans="1:9" s="96" customFormat="1" ht="56.25" customHeight="1" x14ac:dyDescent="0.25">
      <c r="A191" s="343" t="s">
        <v>602</v>
      </c>
      <c r="B191" s="343"/>
      <c r="C191" s="343"/>
      <c r="D191" s="343"/>
      <c r="E191" s="343"/>
      <c r="F191" s="343"/>
      <c r="G191" s="343"/>
      <c r="H191" s="343"/>
      <c r="I191" s="343"/>
    </row>
    <row r="192" spans="1:9" s="96" customFormat="1" x14ac:dyDescent="0.25">
      <c r="A192" s="134"/>
      <c r="B192" s="134"/>
      <c r="C192" s="134"/>
      <c r="D192" s="132"/>
      <c r="E192" s="131"/>
      <c r="F192" s="131"/>
      <c r="G192" s="131"/>
      <c r="H192" s="131"/>
      <c r="I192" s="131"/>
    </row>
    <row r="193" spans="1:11" s="96" customFormat="1" x14ac:dyDescent="0.25">
      <c r="A193" s="133" t="s">
        <v>200</v>
      </c>
      <c r="B193" s="133"/>
      <c r="C193" s="133"/>
      <c r="D193" s="131"/>
      <c r="E193" s="131"/>
      <c r="F193" s="131"/>
      <c r="G193" s="131"/>
      <c r="H193" s="131"/>
      <c r="I193" s="131"/>
    </row>
    <row r="194" spans="1:11" s="96" customFormat="1" ht="60" x14ac:dyDescent="0.25">
      <c r="A194" s="135" t="s">
        <v>19</v>
      </c>
      <c r="B194" s="135"/>
      <c r="C194" s="135"/>
      <c r="D194" s="135" t="s">
        <v>18</v>
      </c>
      <c r="E194" s="131"/>
      <c r="F194" s="131"/>
      <c r="G194" s="131"/>
      <c r="H194" s="131"/>
      <c r="I194" s="131"/>
    </row>
    <row r="195" spans="1:11" s="96" customFormat="1" x14ac:dyDescent="0.25">
      <c r="A195" s="225">
        <v>1</v>
      </c>
      <c r="B195" s="225"/>
      <c r="C195" s="225"/>
      <c r="D195" s="230">
        <v>43594</v>
      </c>
      <c r="E195" s="155" t="s">
        <v>601</v>
      </c>
      <c r="F195" s="131"/>
      <c r="G195" s="131"/>
      <c r="H195" s="131"/>
      <c r="I195" s="131"/>
      <c r="J195" s="100"/>
      <c r="K195" s="101"/>
    </row>
    <row r="196" spans="1:11" s="96" customFormat="1" x14ac:dyDescent="0.25">
      <c r="A196" s="225">
        <v>2</v>
      </c>
      <c r="B196" s="225"/>
      <c r="C196" s="225"/>
      <c r="D196" s="230">
        <v>43595</v>
      </c>
      <c r="E196" s="155" t="s">
        <v>601</v>
      </c>
      <c r="F196" s="131"/>
      <c r="G196" s="131"/>
      <c r="H196" s="131"/>
      <c r="I196" s="131"/>
      <c r="J196" s="100"/>
      <c r="K196" s="101"/>
    </row>
    <row r="197" spans="1:11" s="96" customFormat="1" x14ac:dyDescent="0.25">
      <c r="A197" s="225">
        <v>3</v>
      </c>
      <c r="B197" s="225"/>
      <c r="C197" s="225"/>
      <c r="D197" s="230">
        <v>43598</v>
      </c>
      <c r="E197" s="155" t="s">
        <v>601</v>
      </c>
      <c r="F197" s="131"/>
      <c r="G197" s="131"/>
      <c r="H197" s="131"/>
      <c r="I197" s="131"/>
      <c r="J197" s="100"/>
      <c r="K197" s="101"/>
    </row>
    <row r="198" spans="1:11" s="96" customFormat="1" x14ac:dyDescent="0.25">
      <c r="A198" s="225">
        <v>4</v>
      </c>
      <c r="B198" s="225"/>
      <c r="C198" s="225"/>
      <c r="D198" s="230">
        <v>43599</v>
      </c>
      <c r="E198" s="155" t="s">
        <v>601</v>
      </c>
      <c r="F198" s="131"/>
      <c r="G198" s="131"/>
      <c r="H198" s="131"/>
      <c r="I198" s="131"/>
      <c r="J198" s="100"/>
      <c r="K198" s="101"/>
    </row>
    <row r="199" spans="1:11" s="96" customFormat="1" x14ac:dyDescent="0.25">
      <c r="A199" s="225">
        <v>5</v>
      </c>
      <c r="B199" s="225"/>
      <c r="C199" s="225"/>
      <c r="D199" s="230">
        <v>43600</v>
      </c>
      <c r="E199" s="155" t="s">
        <v>601</v>
      </c>
      <c r="F199" s="131"/>
      <c r="G199" s="131"/>
      <c r="H199" s="131"/>
      <c r="I199" s="131"/>
      <c r="J199" s="100"/>
      <c r="K199" s="101"/>
    </row>
    <row r="200" spans="1:11" s="96" customFormat="1" x14ac:dyDescent="0.25">
      <c r="A200" s="225">
        <v>6</v>
      </c>
      <c r="B200" s="225"/>
      <c r="C200" s="225"/>
      <c r="D200" s="230">
        <v>43601</v>
      </c>
      <c r="E200" s="155" t="s">
        <v>601</v>
      </c>
      <c r="F200" s="131"/>
      <c r="G200" s="131"/>
      <c r="H200" s="131"/>
      <c r="I200" s="131"/>
      <c r="J200" s="100"/>
      <c r="K200" s="101"/>
    </row>
    <row r="201" spans="1:11" s="96" customFormat="1" x14ac:dyDescent="0.25">
      <c r="A201" s="225">
        <v>7</v>
      </c>
      <c r="B201" s="225"/>
      <c r="C201" s="225"/>
      <c r="D201" s="230">
        <v>43602</v>
      </c>
      <c r="E201" s="155" t="s">
        <v>601</v>
      </c>
      <c r="F201" s="131"/>
      <c r="G201" s="131"/>
      <c r="H201" s="131"/>
      <c r="I201" s="131"/>
      <c r="J201" s="100"/>
      <c r="K201" s="101"/>
    </row>
    <row r="202" spans="1:11" s="96" customFormat="1" x14ac:dyDescent="0.25">
      <c r="A202" s="225">
        <v>8</v>
      </c>
      <c r="B202" s="225"/>
      <c r="C202" s="225"/>
      <c r="D202" s="230">
        <v>43605</v>
      </c>
      <c r="E202" s="155" t="s">
        <v>601</v>
      </c>
      <c r="F202" s="131"/>
      <c r="G202" s="131"/>
      <c r="H202" s="131"/>
      <c r="I202" s="131"/>
      <c r="J202" s="100"/>
      <c r="K202" s="101"/>
    </row>
    <row r="203" spans="1:11" s="96" customFormat="1" x14ac:dyDescent="0.25">
      <c r="A203" s="225">
        <v>9</v>
      </c>
      <c r="B203" s="225"/>
      <c r="C203" s="225"/>
      <c r="D203" s="230">
        <v>43606</v>
      </c>
      <c r="E203" s="155" t="s">
        <v>601</v>
      </c>
      <c r="F203" s="131"/>
      <c r="G203" s="131"/>
      <c r="H203" s="131"/>
      <c r="I203" s="131"/>
      <c r="J203" s="100"/>
      <c r="K203" s="101"/>
    </row>
    <row r="204" spans="1:11" s="96" customFormat="1" x14ac:dyDescent="0.25">
      <c r="A204" s="225">
        <v>0</v>
      </c>
      <c r="B204" s="225"/>
      <c r="C204" s="225"/>
      <c r="D204" s="230">
        <v>43607</v>
      </c>
      <c r="E204" s="155" t="s">
        <v>601</v>
      </c>
      <c r="F204" s="131"/>
      <c r="G204" s="131"/>
      <c r="H204" s="131"/>
      <c r="I204" s="131"/>
      <c r="J204" s="100"/>
      <c r="K204" s="101"/>
    </row>
    <row r="205" spans="1:11" s="96" customFormat="1" x14ac:dyDescent="0.25">
      <c r="A205" s="134"/>
      <c r="B205" s="134"/>
      <c r="C205" s="134"/>
      <c r="D205" s="132"/>
      <c r="E205" s="131"/>
      <c r="F205" s="131"/>
      <c r="G205" s="131"/>
      <c r="H205" s="131"/>
      <c r="I205" s="131"/>
    </row>
    <row r="206" spans="1:11" s="96" customFormat="1" x14ac:dyDescent="0.25">
      <c r="A206" s="133" t="s">
        <v>201</v>
      </c>
      <c r="B206" s="133"/>
      <c r="C206" s="133"/>
      <c r="D206" s="131"/>
      <c r="E206" s="131"/>
      <c r="F206" s="131"/>
      <c r="G206" s="131"/>
      <c r="H206" s="131"/>
      <c r="I206" s="131"/>
    </row>
    <row r="207" spans="1:11" s="96" customFormat="1" ht="60" x14ac:dyDescent="0.25">
      <c r="A207" s="135" t="s">
        <v>19</v>
      </c>
      <c r="B207" s="135"/>
      <c r="C207" s="135"/>
      <c r="D207" s="135" t="s">
        <v>18</v>
      </c>
      <c r="E207" s="131"/>
      <c r="F207" s="131"/>
      <c r="G207" s="131"/>
      <c r="H207" s="131"/>
      <c r="I207" s="131"/>
    </row>
    <row r="208" spans="1:11" s="96" customFormat="1" x14ac:dyDescent="0.25">
      <c r="A208" s="134">
        <v>0</v>
      </c>
      <c r="B208" s="134"/>
      <c r="C208" s="134"/>
      <c r="D208" s="229">
        <v>43718</v>
      </c>
      <c r="E208" s="155" t="s">
        <v>601</v>
      </c>
      <c r="F208" s="131"/>
      <c r="G208" s="131"/>
      <c r="H208" s="131"/>
      <c r="I208" s="131"/>
      <c r="J208" s="100"/>
      <c r="K208" s="101"/>
    </row>
    <row r="209" spans="1:11" s="96" customFormat="1" x14ac:dyDescent="0.25">
      <c r="A209" s="134">
        <v>9</v>
      </c>
      <c r="B209" s="134"/>
      <c r="C209" s="134"/>
      <c r="D209" s="229">
        <v>43719</v>
      </c>
      <c r="E209" s="155" t="s">
        <v>601</v>
      </c>
      <c r="F209" s="131"/>
      <c r="G209" s="131"/>
      <c r="H209" s="131"/>
      <c r="I209" s="131"/>
      <c r="J209" s="100"/>
      <c r="K209" s="101"/>
    </row>
    <row r="210" spans="1:11" s="96" customFormat="1" x14ac:dyDescent="0.25">
      <c r="A210" s="134">
        <v>8</v>
      </c>
      <c r="B210" s="134"/>
      <c r="C210" s="134"/>
      <c r="D210" s="229">
        <v>43720</v>
      </c>
      <c r="E210" s="155" t="s">
        <v>601</v>
      </c>
      <c r="F210" s="131"/>
      <c r="G210" s="131"/>
      <c r="H210" s="131"/>
      <c r="I210" s="131"/>
      <c r="J210" s="100"/>
      <c r="K210" s="101"/>
    </row>
    <row r="211" spans="1:11" s="96" customFormat="1" x14ac:dyDescent="0.25">
      <c r="A211" s="134">
        <v>7</v>
      </c>
      <c r="B211" s="134"/>
      <c r="C211" s="134"/>
      <c r="D211" s="229">
        <v>43721</v>
      </c>
      <c r="E211" s="155" t="s">
        <v>601</v>
      </c>
      <c r="F211" s="131"/>
      <c r="G211" s="131"/>
      <c r="H211" s="131"/>
      <c r="I211" s="131"/>
      <c r="J211" s="100"/>
      <c r="K211" s="101"/>
    </row>
    <row r="212" spans="1:11" s="96" customFormat="1" x14ac:dyDescent="0.25">
      <c r="A212" s="134">
        <v>6</v>
      </c>
      <c r="B212" s="134"/>
      <c r="C212" s="134"/>
      <c r="D212" s="229">
        <v>43724</v>
      </c>
      <c r="E212" s="155" t="s">
        <v>601</v>
      </c>
      <c r="F212" s="131"/>
      <c r="G212" s="131"/>
      <c r="H212" s="131"/>
      <c r="I212" s="131"/>
      <c r="J212" s="100"/>
      <c r="K212" s="101"/>
    </row>
    <row r="213" spans="1:11" s="96" customFormat="1" x14ac:dyDescent="0.25">
      <c r="A213" s="134">
        <v>5</v>
      </c>
      <c r="B213" s="134"/>
      <c r="C213" s="134"/>
      <c r="D213" s="229">
        <v>43725</v>
      </c>
      <c r="E213" s="155" t="s">
        <v>601</v>
      </c>
      <c r="F213" s="131"/>
      <c r="G213" s="131"/>
      <c r="H213" s="131"/>
      <c r="I213" s="131"/>
      <c r="J213" s="100"/>
      <c r="K213" s="101"/>
    </row>
    <row r="214" spans="1:11" s="96" customFormat="1" x14ac:dyDescent="0.25">
      <c r="A214" s="134">
        <v>4</v>
      </c>
      <c r="B214" s="134"/>
      <c r="C214" s="134"/>
      <c r="D214" s="229">
        <v>43726</v>
      </c>
      <c r="E214" s="155" t="s">
        <v>601</v>
      </c>
      <c r="F214" s="131"/>
      <c r="G214" s="131"/>
      <c r="H214" s="131"/>
      <c r="I214" s="131"/>
      <c r="J214" s="100"/>
      <c r="K214" s="101"/>
    </row>
    <row r="215" spans="1:11" s="96" customFormat="1" x14ac:dyDescent="0.25">
      <c r="A215" s="134">
        <v>3</v>
      </c>
      <c r="B215" s="134"/>
      <c r="C215" s="134"/>
      <c r="D215" s="229">
        <v>43727</v>
      </c>
      <c r="E215" s="155" t="s">
        <v>601</v>
      </c>
      <c r="F215" s="131"/>
      <c r="G215" s="131"/>
      <c r="H215" s="131"/>
      <c r="I215" s="131"/>
      <c r="J215" s="100"/>
      <c r="K215" s="101"/>
    </row>
    <row r="216" spans="1:11" s="96" customFormat="1" x14ac:dyDescent="0.25">
      <c r="A216" s="134">
        <v>2</v>
      </c>
      <c r="B216" s="134"/>
      <c r="C216" s="134"/>
      <c r="D216" s="229">
        <v>43728</v>
      </c>
      <c r="E216" s="155" t="s">
        <v>601</v>
      </c>
      <c r="F216" s="131"/>
      <c r="G216" s="131"/>
      <c r="H216" s="131"/>
      <c r="I216" s="131"/>
      <c r="J216" s="100"/>
      <c r="K216" s="101"/>
    </row>
    <row r="217" spans="1:11" s="96" customFormat="1" x14ac:dyDescent="0.25">
      <c r="A217" s="134">
        <v>1</v>
      </c>
      <c r="B217" s="134"/>
      <c r="C217" s="134"/>
      <c r="D217" s="229">
        <v>43731</v>
      </c>
      <c r="E217" s="155" t="s">
        <v>601</v>
      </c>
      <c r="F217" s="131"/>
      <c r="G217" s="131"/>
      <c r="H217" s="131"/>
      <c r="I217" s="131"/>
      <c r="J217" s="100"/>
      <c r="K217" s="101"/>
    </row>
    <row r="218" spans="1:11" s="96" customFormat="1" x14ac:dyDescent="0.25">
      <c r="A218" s="134"/>
      <c r="B218" s="134"/>
      <c r="C218" s="134"/>
      <c r="D218" s="132"/>
      <c r="E218" s="131"/>
      <c r="F218" s="131"/>
      <c r="G218" s="131"/>
      <c r="H218" s="131"/>
      <c r="I218" s="131"/>
    </row>
    <row r="219" spans="1:11" s="96" customFormat="1" ht="46.5" customHeight="1" x14ac:dyDescent="0.25">
      <c r="A219" s="344" t="s">
        <v>272</v>
      </c>
      <c r="B219" s="344"/>
      <c r="C219" s="344"/>
      <c r="D219" s="344"/>
      <c r="E219" s="344"/>
      <c r="F219" s="344"/>
      <c r="G219" s="344"/>
      <c r="H219" s="344"/>
      <c r="I219" s="344"/>
    </row>
    <row r="220" spans="1:11" s="96" customFormat="1" x14ac:dyDescent="0.25">
      <c r="A220" s="136" t="s">
        <v>274</v>
      </c>
      <c r="B220" s="134"/>
      <c r="C220" s="134"/>
      <c r="D220" s="132"/>
      <c r="E220" s="131"/>
      <c r="F220" s="131"/>
      <c r="G220" s="131"/>
      <c r="H220" s="131"/>
      <c r="I220" s="131"/>
    </row>
    <row r="221" spans="1:11" s="96" customFormat="1" ht="36" x14ac:dyDescent="0.25">
      <c r="A221" s="137" t="s">
        <v>19</v>
      </c>
      <c r="B221" s="137"/>
      <c r="C221" s="137"/>
      <c r="D221" s="137" t="s">
        <v>18</v>
      </c>
      <c r="E221" s="156"/>
      <c r="F221" s="131"/>
      <c r="G221" s="131"/>
      <c r="H221" s="131"/>
      <c r="I221" s="131"/>
    </row>
    <row r="222" spans="1:11" s="96" customFormat="1" x14ac:dyDescent="0.25">
      <c r="A222" s="134">
        <v>0</v>
      </c>
      <c r="B222" s="134"/>
      <c r="C222" s="134"/>
      <c r="D222" s="132">
        <v>43935</v>
      </c>
      <c r="E222" s="155"/>
      <c r="F222" s="131"/>
      <c r="G222" s="131"/>
      <c r="H222" s="131"/>
      <c r="I222" s="131"/>
      <c r="J222" s="100"/>
      <c r="K222" s="101"/>
    </row>
    <row r="223" spans="1:11" s="96" customFormat="1" x14ac:dyDescent="0.25">
      <c r="A223" s="134">
        <v>9</v>
      </c>
      <c r="B223" s="134"/>
      <c r="C223" s="134"/>
      <c r="D223" s="132">
        <v>43936</v>
      </c>
      <c r="E223" s="155"/>
      <c r="F223" s="131"/>
      <c r="G223" s="131"/>
      <c r="H223" s="131"/>
      <c r="I223" s="131"/>
      <c r="J223" s="100"/>
      <c r="K223" s="101"/>
    </row>
    <row r="224" spans="1:11" s="96" customFormat="1" x14ac:dyDescent="0.25">
      <c r="A224" s="134">
        <v>8</v>
      </c>
      <c r="B224" s="134"/>
      <c r="C224" s="134"/>
      <c r="D224" s="132">
        <v>43937</v>
      </c>
      <c r="E224" s="131"/>
      <c r="F224" s="131"/>
      <c r="G224" s="131"/>
      <c r="H224" s="131"/>
      <c r="I224" s="131"/>
      <c r="J224" s="100"/>
      <c r="K224" s="101"/>
    </row>
    <row r="225" spans="1:11" s="96" customFormat="1" x14ac:dyDescent="0.25">
      <c r="A225" s="134">
        <v>7</v>
      </c>
      <c r="B225" s="134"/>
      <c r="C225" s="134"/>
      <c r="D225" s="132">
        <v>43938</v>
      </c>
      <c r="E225" s="131"/>
      <c r="F225" s="131"/>
      <c r="G225" s="131"/>
      <c r="H225" s="131"/>
      <c r="I225" s="131"/>
      <c r="J225" s="100"/>
      <c r="K225" s="101"/>
    </row>
    <row r="226" spans="1:11" s="96" customFormat="1" x14ac:dyDescent="0.25">
      <c r="A226" s="134">
        <v>6</v>
      </c>
      <c r="B226" s="134"/>
      <c r="C226" s="134"/>
      <c r="D226" s="132">
        <v>43941</v>
      </c>
      <c r="E226" s="131"/>
      <c r="F226" s="131"/>
      <c r="G226" s="131"/>
      <c r="H226" s="131"/>
      <c r="I226" s="131"/>
      <c r="J226" s="100"/>
      <c r="K226" s="101"/>
    </row>
    <row r="227" spans="1:11" s="96" customFormat="1" x14ac:dyDescent="0.25">
      <c r="A227" s="134">
        <v>5</v>
      </c>
      <c r="B227" s="134"/>
      <c r="C227" s="134"/>
      <c r="D227" s="132">
        <v>43942</v>
      </c>
      <c r="E227" s="131"/>
      <c r="F227" s="131"/>
      <c r="G227" s="131"/>
      <c r="H227" s="131"/>
      <c r="I227" s="131"/>
      <c r="J227" s="100"/>
      <c r="K227" s="101"/>
    </row>
    <row r="228" spans="1:11" s="96" customFormat="1" x14ac:dyDescent="0.25">
      <c r="A228" s="134">
        <v>4</v>
      </c>
      <c r="B228" s="134"/>
      <c r="C228" s="134"/>
      <c r="D228" s="132">
        <v>43943</v>
      </c>
      <c r="E228" s="131"/>
      <c r="F228" s="131"/>
      <c r="G228" s="131"/>
      <c r="H228" s="131"/>
      <c r="I228" s="131"/>
      <c r="J228" s="100"/>
      <c r="K228" s="101"/>
    </row>
    <row r="229" spans="1:11" s="96" customFormat="1" x14ac:dyDescent="0.25">
      <c r="A229" s="134">
        <v>3</v>
      </c>
      <c r="B229" s="134"/>
      <c r="C229" s="134"/>
      <c r="D229" s="132">
        <v>43944</v>
      </c>
      <c r="E229" s="131"/>
      <c r="F229" s="131"/>
      <c r="G229" s="131"/>
      <c r="H229" s="131"/>
      <c r="I229" s="131"/>
      <c r="J229" s="100"/>
      <c r="K229" s="101"/>
    </row>
    <row r="230" spans="1:11" s="96" customFormat="1" x14ac:dyDescent="0.25">
      <c r="A230" s="134">
        <v>2</v>
      </c>
      <c r="B230" s="134"/>
      <c r="C230" s="134"/>
      <c r="D230" s="132">
        <v>43945</v>
      </c>
      <c r="E230" s="131"/>
      <c r="F230" s="131"/>
      <c r="G230" s="131"/>
      <c r="H230" s="131"/>
      <c r="I230" s="131"/>
      <c r="J230" s="100"/>
      <c r="K230" s="101"/>
    </row>
    <row r="231" spans="1:11" s="96" customFormat="1" x14ac:dyDescent="0.25">
      <c r="A231" s="134">
        <v>1</v>
      </c>
      <c r="B231" s="134"/>
      <c r="C231" s="134"/>
      <c r="D231" s="132">
        <v>43948</v>
      </c>
      <c r="E231" s="131"/>
      <c r="F231" s="131"/>
      <c r="G231" s="131"/>
      <c r="H231" s="131"/>
      <c r="I231" s="131"/>
      <c r="J231" s="100"/>
      <c r="K231" s="101"/>
    </row>
    <row r="232" spans="1:11" s="107" customFormat="1" x14ac:dyDescent="0.25">
      <c r="A232" s="2" t="s">
        <v>275</v>
      </c>
      <c r="B232" s="2"/>
      <c r="C232" s="2"/>
    </row>
    <row r="233" spans="1:11" s="107" customFormat="1" ht="36" customHeight="1" x14ac:dyDescent="0.25">
      <c r="A233" s="340" t="s">
        <v>196</v>
      </c>
      <c r="B233" s="340"/>
      <c r="C233" s="340"/>
      <c r="D233" s="124" t="s">
        <v>18</v>
      </c>
      <c r="E233" s="156"/>
    </row>
    <row r="234" spans="1:11" s="107" customFormat="1" x14ac:dyDescent="0.25">
      <c r="A234" s="97">
        <v>1</v>
      </c>
      <c r="B234" s="108" t="s">
        <v>235</v>
      </c>
      <c r="C234" s="97">
        <v>5</v>
      </c>
      <c r="D234" s="15">
        <v>43963</v>
      </c>
    </row>
    <row r="235" spans="1:11" s="107" customFormat="1" x14ac:dyDescent="0.25">
      <c r="A235" s="97">
        <v>6</v>
      </c>
      <c r="B235" s="108" t="s">
        <v>235</v>
      </c>
      <c r="C235" s="108">
        <v>10</v>
      </c>
      <c r="D235" s="15">
        <v>43962</v>
      </c>
    </row>
    <row r="236" spans="1:11" s="107" customFormat="1" x14ac:dyDescent="0.25">
      <c r="A236" s="108">
        <v>11</v>
      </c>
      <c r="B236" s="108" t="s">
        <v>235</v>
      </c>
      <c r="C236" s="108">
        <v>15</v>
      </c>
      <c r="D236" s="15">
        <v>43959</v>
      </c>
    </row>
    <row r="237" spans="1:11" s="107" customFormat="1" x14ac:dyDescent="0.25">
      <c r="A237" s="108">
        <v>16</v>
      </c>
      <c r="B237" s="108" t="s">
        <v>235</v>
      </c>
      <c r="C237" s="108">
        <v>20</v>
      </c>
      <c r="D237" s="15">
        <v>43958</v>
      </c>
    </row>
    <row r="238" spans="1:11" s="107" customFormat="1" x14ac:dyDescent="0.25">
      <c r="A238" s="108">
        <v>21</v>
      </c>
      <c r="B238" s="108" t="s">
        <v>235</v>
      </c>
      <c r="C238" s="108">
        <v>25</v>
      </c>
      <c r="D238" s="15">
        <v>43957</v>
      </c>
    </row>
    <row r="239" spans="1:11" s="107" customFormat="1" x14ac:dyDescent="0.25">
      <c r="A239" s="108">
        <v>26</v>
      </c>
      <c r="B239" s="108" t="s">
        <v>235</v>
      </c>
      <c r="C239" s="108">
        <v>30</v>
      </c>
      <c r="D239" s="15">
        <v>43956</v>
      </c>
    </row>
    <row r="240" spans="1:11" s="107" customFormat="1" x14ac:dyDescent="0.25">
      <c r="A240" s="108">
        <v>31</v>
      </c>
      <c r="B240" s="108" t="s">
        <v>235</v>
      </c>
      <c r="C240" s="108">
        <v>35</v>
      </c>
      <c r="D240" s="15">
        <v>43955</v>
      </c>
    </row>
    <row r="241" spans="1:15" s="107" customFormat="1" x14ac:dyDescent="0.25">
      <c r="A241" s="108">
        <v>36</v>
      </c>
      <c r="B241" s="108" t="s">
        <v>235</v>
      </c>
      <c r="C241" s="108">
        <v>40</v>
      </c>
      <c r="D241" s="15">
        <v>43951</v>
      </c>
    </row>
    <row r="242" spans="1:15" s="107" customFormat="1" x14ac:dyDescent="0.25">
      <c r="A242" s="108">
        <v>41</v>
      </c>
      <c r="B242" s="108" t="s">
        <v>235</v>
      </c>
      <c r="C242" s="108">
        <v>45</v>
      </c>
      <c r="D242" s="15">
        <v>43950</v>
      </c>
    </row>
    <row r="243" spans="1:15" s="107" customFormat="1" x14ac:dyDescent="0.25">
      <c r="A243" s="108">
        <v>46</v>
      </c>
      <c r="B243" s="108" t="s">
        <v>235</v>
      </c>
      <c r="C243" s="108">
        <v>50</v>
      </c>
      <c r="D243" s="15">
        <v>43949</v>
      </c>
    </row>
    <row r="244" spans="1:15" s="107" customFormat="1" x14ac:dyDescent="0.25">
      <c r="A244" s="108">
        <v>51</v>
      </c>
      <c r="B244" s="108" t="s">
        <v>235</v>
      </c>
      <c r="C244" s="108">
        <v>55</v>
      </c>
      <c r="D244" s="15">
        <v>43948</v>
      </c>
    </row>
    <row r="245" spans="1:15" s="107" customFormat="1" x14ac:dyDescent="0.25">
      <c r="A245" s="108">
        <v>56</v>
      </c>
      <c r="B245" s="108" t="s">
        <v>235</v>
      </c>
      <c r="C245" s="108">
        <v>60</v>
      </c>
      <c r="D245" s="15">
        <v>43945</v>
      </c>
    </row>
    <row r="246" spans="1:15" s="107" customFormat="1" x14ac:dyDescent="0.25">
      <c r="A246" s="108">
        <v>61</v>
      </c>
      <c r="B246" s="108" t="s">
        <v>235</v>
      </c>
      <c r="C246" s="108">
        <v>65</v>
      </c>
      <c r="D246" s="15">
        <v>43944</v>
      </c>
    </row>
    <row r="247" spans="1:15" s="107" customFormat="1" x14ac:dyDescent="0.25">
      <c r="A247" s="108">
        <v>66</v>
      </c>
      <c r="B247" s="108" t="s">
        <v>235</v>
      </c>
      <c r="C247" s="108">
        <v>70</v>
      </c>
      <c r="D247" s="15">
        <v>43943</v>
      </c>
    </row>
    <row r="248" spans="1:15" s="107" customFormat="1" x14ac:dyDescent="0.25">
      <c r="A248" s="108">
        <v>71</v>
      </c>
      <c r="B248" s="108" t="s">
        <v>235</v>
      </c>
      <c r="C248" s="108">
        <v>75</v>
      </c>
      <c r="D248" s="15">
        <v>43942</v>
      </c>
    </row>
    <row r="249" spans="1:15" s="107" customFormat="1" x14ac:dyDescent="0.25">
      <c r="A249" s="108">
        <v>76</v>
      </c>
      <c r="B249" s="108" t="s">
        <v>235</v>
      </c>
      <c r="C249" s="108">
        <v>80</v>
      </c>
      <c r="D249" s="15">
        <v>43941</v>
      </c>
    </row>
    <row r="250" spans="1:15" s="107" customFormat="1" x14ac:dyDescent="0.25">
      <c r="A250" s="108">
        <v>81</v>
      </c>
      <c r="B250" s="108" t="s">
        <v>235</v>
      </c>
      <c r="C250" s="108">
        <v>85</v>
      </c>
      <c r="D250" s="15">
        <v>43938</v>
      </c>
    </row>
    <row r="251" spans="1:15" s="107" customFormat="1" x14ac:dyDescent="0.25">
      <c r="A251" s="108">
        <v>86</v>
      </c>
      <c r="B251" s="108" t="s">
        <v>235</v>
      </c>
      <c r="C251" s="108">
        <v>90</v>
      </c>
      <c r="D251" s="15">
        <v>43937</v>
      </c>
    </row>
    <row r="252" spans="1:15" s="107" customFormat="1" x14ac:dyDescent="0.25">
      <c r="A252" s="108">
        <v>91</v>
      </c>
      <c r="B252" s="108" t="s">
        <v>235</v>
      </c>
      <c r="C252" s="108">
        <v>95</v>
      </c>
      <c r="D252" s="15">
        <v>43936</v>
      </c>
      <c r="E252" s="155"/>
    </row>
    <row r="253" spans="1:15" s="107" customFormat="1" x14ac:dyDescent="0.25">
      <c r="A253" s="108">
        <v>96</v>
      </c>
      <c r="B253" s="108" t="s">
        <v>235</v>
      </c>
      <c r="C253" s="97">
        <v>0</v>
      </c>
      <c r="D253" s="15">
        <v>43935</v>
      </c>
      <c r="E253" s="155"/>
    </row>
    <row r="254" spans="1:15" s="107" customFormat="1" x14ac:dyDescent="0.25">
      <c r="A254" s="2" t="s">
        <v>276</v>
      </c>
    </row>
    <row r="255" spans="1:15" s="107" customFormat="1" ht="31.9" customHeight="1" x14ac:dyDescent="0.25">
      <c r="A255" s="338" t="s">
        <v>64</v>
      </c>
      <c r="B255" s="338"/>
      <c r="C255" s="338"/>
      <c r="D255" s="159" t="s">
        <v>18</v>
      </c>
    </row>
    <row r="256" spans="1:15" s="107" customFormat="1" x14ac:dyDescent="0.25">
      <c r="A256" s="6">
        <v>1</v>
      </c>
      <c r="B256" s="160" t="s">
        <v>197</v>
      </c>
      <c r="C256" s="6">
        <v>2</v>
      </c>
      <c r="D256" s="15">
        <v>44125</v>
      </c>
      <c r="N256" s="100"/>
      <c r="O256" s="101"/>
    </row>
    <row r="257" spans="1:15" s="107" customFormat="1" x14ac:dyDescent="0.25">
      <c r="A257" s="6">
        <v>3</v>
      </c>
      <c r="B257" s="160" t="s">
        <v>197</v>
      </c>
      <c r="C257" s="6">
        <v>4</v>
      </c>
      <c r="D257" s="15">
        <v>44124</v>
      </c>
      <c r="G257" s="6"/>
      <c r="N257" s="100"/>
      <c r="O257" s="101"/>
    </row>
    <row r="258" spans="1:15" s="107" customFormat="1" x14ac:dyDescent="0.25">
      <c r="A258" s="6">
        <v>5</v>
      </c>
      <c r="B258" s="160" t="s">
        <v>197</v>
      </c>
      <c r="C258" s="6">
        <v>6</v>
      </c>
      <c r="D258" s="15">
        <v>44123</v>
      </c>
      <c r="G258" s="6"/>
      <c r="N258" s="100"/>
      <c r="O258" s="101"/>
    </row>
    <row r="259" spans="1:15" s="107" customFormat="1" x14ac:dyDescent="0.25">
      <c r="A259" s="6">
        <v>7</v>
      </c>
      <c r="B259" s="160" t="s">
        <v>197</v>
      </c>
      <c r="C259" s="6">
        <v>8</v>
      </c>
      <c r="D259" s="15">
        <v>44120</v>
      </c>
      <c r="H259" s="6"/>
      <c r="N259" s="100"/>
      <c r="O259" s="101"/>
    </row>
    <row r="260" spans="1:15" s="107" customFormat="1" x14ac:dyDescent="0.25">
      <c r="A260" s="6">
        <v>9</v>
      </c>
      <c r="B260" s="160" t="s">
        <v>197</v>
      </c>
      <c r="C260" s="6">
        <v>10</v>
      </c>
      <c r="D260" s="15">
        <v>44119</v>
      </c>
      <c r="G260" s="6"/>
      <c r="N260" s="100"/>
      <c r="O260" s="101"/>
    </row>
    <row r="261" spans="1:15" s="107" customFormat="1" x14ac:dyDescent="0.25">
      <c r="A261" s="6">
        <v>11</v>
      </c>
      <c r="B261" s="160" t="s">
        <v>197</v>
      </c>
      <c r="C261" s="6">
        <v>12</v>
      </c>
      <c r="D261" s="15">
        <v>44118</v>
      </c>
      <c r="G261" s="6"/>
      <c r="N261" s="100"/>
      <c r="O261" s="101"/>
    </row>
    <row r="262" spans="1:15" s="107" customFormat="1" x14ac:dyDescent="0.25">
      <c r="A262" s="6">
        <v>13</v>
      </c>
      <c r="B262" s="160" t="s">
        <v>197</v>
      </c>
      <c r="C262" s="6">
        <v>14</v>
      </c>
      <c r="D262" s="15">
        <v>44117</v>
      </c>
      <c r="G262" s="6"/>
      <c r="N262" s="100"/>
      <c r="O262" s="101"/>
    </row>
    <row r="263" spans="1:15" s="107" customFormat="1" x14ac:dyDescent="0.25">
      <c r="A263" s="6">
        <v>15</v>
      </c>
      <c r="B263" s="160" t="s">
        <v>197</v>
      </c>
      <c r="C263" s="6">
        <v>16</v>
      </c>
      <c r="D263" s="15">
        <v>44113</v>
      </c>
      <c r="G263" s="6"/>
      <c r="N263" s="100"/>
      <c r="O263" s="101"/>
    </row>
    <row r="264" spans="1:15" s="107" customFormat="1" x14ac:dyDescent="0.25">
      <c r="A264" s="6">
        <v>17</v>
      </c>
      <c r="B264" s="160" t="s">
        <v>197</v>
      </c>
      <c r="C264" s="6">
        <v>18</v>
      </c>
      <c r="D264" s="15">
        <v>44112</v>
      </c>
      <c r="G264" s="6"/>
      <c r="N264" s="100"/>
      <c r="O264" s="101"/>
    </row>
    <row r="265" spans="1:15" s="107" customFormat="1" x14ac:dyDescent="0.25">
      <c r="A265" s="6">
        <v>19</v>
      </c>
      <c r="B265" s="160" t="s">
        <v>197</v>
      </c>
      <c r="C265" s="6">
        <v>20</v>
      </c>
      <c r="D265" s="15">
        <v>44111</v>
      </c>
      <c r="G265" s="6"/>
      <c r="N265" s="100"/>
      <c r="O265" s="101"/>
    </row>
    <row r="266" spans="1:15" s="107" customFormat="1" x14ac:dyDescent="0.25">
      <c r="A266" s="6">
        <v>21</v>
      </c>
      <c r="B266" s="160" t="s">
        <v>197</v>
      </c>
      <c r="C266" s="6">
        <v>22</v>
      </c>
      <c r="D266" s="15">
        <v>44110</v>
      </c>
      <c r="G266" s="6"/>
      <c r="N266" s="100"/>
      <c r="O266" s="101"/>
    </row>
    <row r="267" spans="1:15" s="107" customFormat="1" x14ac:dyDescent="0.25">
      <c r="A267" s="6">
        <v>23</v>
      </c>
      <c r="B267" s="160" t="s">
        <v>197</v>
      </c>
      <c r="C267" s="6">
        <v>24</v>
      </c>
      <c r="D267" s="15">
        <v>44109</v>
      </c>
      <c r="E267" s="6"/>
      <c r="G267" s="6"/>
      <c r="N267" s="100"/>
      <c r="O267" s="101"/>
    </row>
    <row r="268" spans="1:15" s="107" customFormat="1" x14ac:dyDescent="0.25">
      <c r="A268" s="6">
        <v>25</v>
      </c>
      <c r="B268" s="160" t="s">
        <v>197</v>
      </c>
      <c r="C268" s="6">
        <v>26</v>
      </c>
      <c r="D268" s="15">
        <v>44106</v>
      </c>
      <c r="E268" s="6"/>
      <c r="G268" s="6"/>
      <c r="N268" s="100"/>
      <c r="O268" s="101"/>
    </row>
    <row r="269" spans="1:15" s="107" customFormat="1" x14ac:dyDescent="0.25">
      <c r="A269" s="6">
        <v>27</v>
      </c>
      <c r="B269" s="160" t="s">
        <v>197</v>
      </c>
      <c r="C269" s="6">
        <v>28</v>
      </c>
      <c r="D269" s="15">
        <v>44105</v>
      </c>
      <c r="E269" s="6"/>
      <c r="G269" s="6"/>
      <c r="N269" s="100"/>
      <c r="O269" s="101"/>
    </row>
    <row r="270" spans="1:15" s="107" customFormat="1" x14ac:dyDescent="0.25">
      <c r="A270" s="6">
        <v>29</v>
      </c>
      <c r="B270" s="160" t="s">
        <v>197</v>
      </c>
      <c r="C270" s="6">
        <v>30</v>
      </c>
      <c r="D270" s="15">
        <v>44104</v>
      </c>
      <c r="E270" s="6"/>
      <c r="G270" s="6"/>
      <c r="N270" s="100"/>
      <c r="O270" s="101"/>
    </row>
    <row r="271" spans="1:15" s="107" customFormat="1" x14ac:dyDescent="0.25">
      <c r="A271" s="6">
        <v>31</v>
      </c>
      <c r="B271" s="160" t="s">
        <v>197</v>
      </c>
      <c r="C271" s="6">
        <v>32</v>
      </c>
      <c r="D271" s="15">
        <v>44103</v>
      </c>
      <c r="E271" s="6"/>
      <c r="G271" s="6"/>
      <c r="N271" s="100"/>
      <c r="O271" s="101"/>
    </row>
    <row r="272" spans="1:15" s="107" customFormat="1" x14ac:dyDescent="0.25">
      <c r="A272" s="6">
        <v>33</v>
      </c>
      <c r="B272" s="160" t="s">
        <v>197</v>
      </c>
      <c r="C272" s="6">
        <v>34</v>
      </c>
      <c r="D272" s="15">
        <v>44102</v>
      </c>
      <c r="E272" s="6"/>
      <c r="G272" s="6"/>
      <c r="N272" s="100"/>
      <c r="O272" s="101"/>
    </row>
    <row r="273" spans="1:15" s="107" customFormat="1" x14ac:dyDescent="0.25">
      <c r="A273" s="6">
        <v>35</v>
      </c>
      <c r="B273" s="160" t="s">
        <v>197</v>
      </c>
      <c r="C273" s="6">
        <v>36</v>
      </c>
      <c r="D273" s="15">
        <v>44099</v>
      </c>
      <c r="E273" s="6"/>
      <c r="G273" s="6"/>
      <c r="N273" s="100"/>
      <c r="O273" s="101"/>
    </row>
    <row r="274" spans="1:15" s="107" customFormat="1" x14ac:dyDescent="0.25">
      <c r="A274" s="6">
        <v>37</v>
      </c>
      <c r="B274" s="160" t="s">
        <v>197</v>
      </c>
      <c r="C274" s="6">
        <v>38</v>
      </c>
      <c r="D274" s="15">
        <v>44098</v>
      </c>
      <c r="E274" s="6"/>
      <c r="G274" s="6"/>
      <c r="N274" s="100"/>
      <c r="O274" s="101"/>
    </row>
    <row r="275" spans="1:15" s="107" customFormat="1" x14ac:dyDescent="0.25">
      <c r="A275" s="6">
        <v>39</v>
      </c>
      <c r="B275" s="160" t="s">
        <v>197</v>
      </c>
      <c r="C275" s="6">
        <v>40</v>
      </c>
      <c r="D275" s="15">
        <v>44097</v>
      </c>
      <c r="E275" s="6"/>
      <c r="H275" s="6"/>
      <c r="N275" s="100"/>
      <c r="O275" s="101"/>
    </row>
    <row r="276" spans="1:15" s="107" customFormat="1" x14ac:dyDescent="0.25">
      <c r="A276" s="6">
        <v>41</v>
      </c>
      <c r="B276" s="160" t="s">
        <v>197</v>
      </c>
      <c r="C276" s="6">
        <v>42</v>
      </c>
      <c r="D276" s="15">
        <v>44096</v>
      </c>
      <c r="E276" s="6"/>
      <c r="G276" s="6"/>
      <c r="N276" s="100"/>
      <c r="O276" s="101"/>
    </row>
    <row r="277" spans="1:15" s="107" customFormat="1" x14ac:dyDescent="0.25">
      <c r="A277" s="6">
        <v>43</v>
      </c>
      <c r="B277" s="160" t="s">
        <v>197</v>
      </c>
      <c r="C277" s="6">
        <v>44</v>
      </c>
      <c r="D277" s="15">
        <v>44095</v>
      </c>
      <c r="E277" s="6"/>
      <c r="H277" s="6"/>
      <c r="N277" s="100"/>
      <c r="O277" s="101"/>
    </row>
    <row r="278" spans="1:15" s="107" customFormat="1" x14ac:dyDescent="0.25">
      <c r="A278" s="6">
        <v>45</v>
      </c>
      <c r="B278" s="160" t="s">
        <v>197</v>
      </c>
      <c r="C278" s="6">
        <v>46</v>
      </c>
      <c r="D278" s="15">
        <v>44092</v>
      </c>
      <c r="E278" s="6"/>
      <c r="H278" s="6"/>
      <c r="N278" s="100"/>
      <c r="O278" s="101"/>
    </row>
    <row r="279" spans="1:15" s="107" customFormat="1" x14ac:dyDescent="0.25">
      <c r="A279" s="6">
        <v>47</v>
      </c>
      <c r="B279" s="160" t="s">
        <v>197</v>
      </c>
      <c r="C279" s="6">
        <v>48</v>
      </c>
      <c r="D279" s="15">
        <v>44091</v>
      </c>
      <c r="E279" s="6"/>
      <c r="H279" s="6"/>
      <c r="N279" s="100"/>
      <c r="O279" s="101"/>
    </row>
    <row r="280" spans="1:15" s="107" customFormat="1" x14ac:dyDescent="0.25">
      <c r="A280" s="6">
        <v>49</v>
      </c>
      <c r="B280" s="160" t="s">
        <v>197</v>
      </c>
      <c r="C280" s="6">
        <v>50</v>
      </c>
      <c r="D280" s="15">
        <v>44090</v>
      </c>
      <c r="E280" s="6"/>
      <c r="G280" s="6"/>
      <c r="I280" s="6"/>
      <c r="N280" s="100"/>
      <c r="O280" s="101"/>
    </row>
    <row r="281" spans="1:15" s="107" customFormat="1" x14ac:dyDescent="0.25">
      <c r="A281" s="6">
        <v>51</v>
      </c>
      <c r="B281" s="160" t="s">
        <v>197</v>
      </c>
      <c r="C281" s="6">
        <v>52</v>
      </c>
      <c r="D281" s="15">
        <v>44089</v>
      </c>
      <c r="E281" s="6"/>
      <c r="G281" s="6"/>
      <c r="N281" s="100"/>
      <c r="O281" s="101"/>
    </row>
    <row r="282" spans="1:15" s="107" customFormat="1" x14ac:dyDescent="0.25">
      <c r="A282" s="6">
        <v>53</v>
      </c>
      <c r="B282" s="160" t="s">
        <v>197</v>
      </c>
      <c r="C282" s="6">
        <v>54</v>
      </c>
      <c r="D282" s="15">
        <v>44088</v>
      </c>
      <c r="E282" s="6"/>
      <c r="G282" s="6"/>
      <c r="N282" s="100"/>
      <c r="O282" s="101"/>
    </row>
    <row r="283" spans="1:15" s="107" customFormat="1" x14ac:dyDescent="0.25">
      <c r="A283" s="6">
        <v>55</v>
      </c>
      <c r="B283" s="160" t="s">
        <v>197</v>
      </c>
      <c r="C283" s="6">
        <v>56</v>
      </c>
      <c r="D283" s="15">
        <v>44085</v>
      </c>
      <c r="E283" s="6"/>
      <c r="G283" s="6"/>
      <c r="N283" s="100"/>
      <c r="O283" s="101"/>
    </row>
    <row r="284" spans="1:15" s="107" customFormat="1" x14ac:dyDescent="0.25">
      <c r="A284" s="6">
        <v>57</v>
      </c>
      <c r="B284" s="160" t="s">
        <v>197</v>
      </c>
      <c r="C284" s="6">
        <v>58</v>
      </c>
      <c r="D284" s="15">
        <v>44084</v>
      </c>
      <c r="E284" s="6"/>
      <c r="G284" s="6"/>
      <c r="N284" s="100"/>
      <c r="O284" s="101"/>
    </row>
    <row r="285" spans="1:15" s="107" customFormat="1" x14ac:dyDescent="0.25">
      <c r="A285" s="6">
        <v>59</v>
      </c>
      <c r="B285" s="160" t="s">
        <v>197</v>
      </c>
      <c r="C285" s="6">
        <v>60</v>
      </c>
      <c r="D285" s="15">
        <v>44083</v>
      </c>
      <c r="E285" s="6"/>
      <c r="G285" s="6"/>
      <c r="N285" s="100"/>
      <c r="O285" s="101"/>
    </row>
    <row r="286" spans="1:15" s="107" customFormat="1" x14ac:dyDescent="0.25">
      <c r="A286" s="6">
        <v>61</v>
      </c>
      <c r="B286" s="160" t="s">
        <v>197</v>
      </c>
      <c r="C286" s="6">
        <v>62</v>
      </c>
      <c r="D286" s="15">
        <v>44082</v>
      </c>
      <c r="E286" s="6"/>
      <c r="G286" s="6"/>
      <c r="N286" s="100"/>
      <c r="O286" s="101"/>
    </row>
    <row r="287" spans="1:15" s="107" customFormat="1" x14ac:dyDescent="0.25">
      <c r="A287" s="6">
        <v>63</v>
      </c>
      <c r="B287" s="160" t="s">
        <v>197</v>
      </c>
      <c r="C287" s="6">
        <v>64</v>
      </c>
      <c r="D287" s="15">
        <v>44081</v>
      </c>
      <c r="E287" s="6"/>
      <c r="N287" s="100"/>
      <c r="O287" s="101"/>
    </row>
    <row r="288" spans="1:15" s="107" customFormat="1" x14ac:dyDescent="0.25">
      <c r="A288" s="6">
        <v>65</v>
      </c>
      <c r="B288" s="160" t="s">
        <v>197</v>
      </c>
      <c r="C288" s="6">
        <v>66</v>
      </c>
      <c r="D288" s="15">
        <v>44078</v>
      </c>
      <c r="E288" s="6"/>
      <c r="N288" s="100"/>
      <c r="O288" s="101"/>
    </row>
    <row r="289" spans="1:15" s="107" customFormat="1" x14ac:dyDescent="0.25">
      <c r="A289" s="6">
        <v>67</v>
      </c>
      <c r="B289" s="160" t="s">
        <v>197</v>
      </c>
      <c r="C289" s="6">
        <v>68</v>
      </c>
      <c r="D289" s="15">
        <v>44077</v>
      </c>
      <c r="E289" s="6"/>
      <c r="I289" s="15"/>
      <c r="N289" s="100"/>
      <c r="O289" s="101"/>
    </row>
    <row r="290" spans="1:15" s="107" customFormat="1" x14ac:dyDescent="0.25">
      <c r="A290" s="6">
        <v>69</v>
      </c>
      <c r="B290" s="160" t="s">
        <v>197</v>
      </c>
      <c r="C290" s="6">
        <v>70</v>
      </c>
      <c r="D290" s="15">
        <v>44076</v>
      </c>
      <c r="N290" s="100"/>
      <c r="O290" s="101"/>
    </row>
    <row r="291" spans="1:15" s="107" customFormat="1" x14ac:dyDescent="0.25">
      <c r="A291" s="6">
        <v>71</v>
      </c>
      <c r="B291" s="160" t="s">
        <v>197</v>
      </c>
      <c r="C291" s="6">
        <v>72</v>
      </c>
      <c r="D291" s="15">
        <v>44075</v>
      </c>
      <c r="N291" s="100"/>
      <c r="O291" s="101"/>
    </row>
    <row r="292" spans="1:15" s="107" customFormat="1" x14ac:dyDescent="0.25">
      <c r="A292" s="6">
        <v>73</v>
      </c>
      <c r="B292" s="160" t="s">
        <v>197</v>
      </c>
      <c r="C292" s="6">
        <v>74</v>
      </c>
      <c r="D292" s="15">
        <v>44074</v>
      </c>
      <c r="N292" s="100"/>
      <c r="O292" s="101"/>
    </row>
    <row r="293" spans="1:15" s="107" customFormat="1" x14ac:dyDescent="0.25">
      <c r="A293" s="6">
        <v>75</v>
      </c>
      <c r="B293" s="160" t="s">
        <v>197</v>
      </c>
      <c r="C293" s="6">
        <v>76</v>
      </c>
      <c r="D293" s="15">
        <v>44071</v>
      </c>
    </row>
    <row r="294" spans="1:15" s="107" customFormat="1" x14ac:dyDescent="0.25">
      <c r="A294" s="6">
        <v>77</v>
      </c>
      <c r="B294" s="160" t="s">
        <v>197</v>
      </c>
      <c r="C294" s="6">
        <v>78</v>
      </c>
      <c r="D294" s="15">
        <v>44070</v>
      </c>
    </row>
    <row r="295" spans="1:15" s="107" customFormat="1" x14ac:dyDescent="0.25">
      <c r="A295" s="6">
        <v>79</v>
      </c>
      <c r="B295" s="160" t="s">
        <v>197</v>
      </c>
      <c r="C295" s="6">
        <v>80</v>
      </c>
      <c r="D295" s="15">
        <v>44069</v>
      </c>
    </row>
    <row r="296" spans="1:15" s="107" customFormat="1" x14ac:dyDescent="0.25">
      <c r="A296" s="6">
        <v>81</v>
      </c>
      <c r="B296" s="160" t="s">
        <v>197</v>
      </c>
      <c r="C296" s="6">
        <v>82</v>
      </c>
      <c r="D296" s="15">
        <v>44068</v>
      </c>
    </row>
    <row r="297" spans="1:15" s="107" customFormat="1" x14ac:dyDescent="0.25">
      <c r="A297" s="6">
        <v>83</v>
      </c>
      <c r="B297" s="160" t="s">
        <v>197</v>
      </c>
      <c r="C297" s="6">
        <v>84</v>
      </c>
      <c r="D297" s="15">
        <v>44067</v>
      </c>
    </row>
    <row r="298" spans="1:15" s="107" customFormat="1" x14ac:dyDescent="0.25">
      <c r="A298" s="6">
        <v>85</v>
      </c>
      <c r="B298" s="160" t="s">
        <v>197</v>
      </c>
      <c r="C298" s="6">
        <v>86</v>
      </c>
      <c r="D298" s="15">
        <v>44064</v>
      </c>
    </row>
    <row r="299" spans="1:15" s="107" customFormat="1" x14ac:dyDescent="0.25">
      <c r="A299" s="6">
        <v>87</v>
      </c>
      <c r="B299" s="160" t="s">
        <v>197</v>
      </c>
      <c r="C299" s="6">
        <v>88</v>
      </c>
      <c r="D299" s="15">
        <v>44063</v>
      </c>
    </row>
    <row r="300" spans="1:15" s="107" customFormat="1" x14ac:dyDescent="0.25">
      <c r="A300" s="6">
        <v>89</v>
      </c>
      <c r="B300" s="160" t="s">
        <v>197</v>
      </c>
      <c r="C300" s="6">
        <v>90</v>
      </c>
      <c r="D300" s="15">
        <v>44062</v>
      </c>
    </row>
    <row r="301" spans="1:15" s="107" customFormat="1" x14ac:dyDescent="0.25">
      <c r="A301" s="6">
        <v>91</v>
      </c>
      <c r="B301" s="160" t="s">
        <v>197</v>
      </c>
      <c r="C301" s="6">
        <v>92</v>
      </c>
      <c r="D301" s="15">
        <v>44061</v>
      </c>
    </row>
    <row r="302" spans="1:15" s="107" customFormat="1" x14ac:dyDescent="0.25">
      <c r="A302" s="6">
        <v>93</v>
      </c>
      <c r="B302" s="160" t="s">
        <v>197</v>
      </c>
      <c r="C302" s="6">
        <v>94</v>
      </c>
      <c r="D302" s="15">
        <v>44057</v>
      </c>
    </row>
    <row r="303" spans="1:15" s="107" customFormat="1" x14ac:dyDescent="0.25">
      <c r="A303" s="6">
        <v>95</v>
      </c>
      <c r="B303" s="160" t="s">
        <v>197</v>
      </c>
      <c r="C303" s="6">
        <v>96</v>
      </c>
      <c r="D303" s="15">
        <v>44056</v>
      </c>
    </row>
    <row r="304" spans="1:15" s="107" customFormat="1" x14ac:dyDescent="0.25">
      <c r="A304" s="6">
        <v>97</v>
      </c>
      <c r="B304" s="160" t="s">
        <v>197</v>
      </c>
      <c r="C304" s="6">
        <v>98</v>
      </c>
      <c r="D304" s="15">
        <v>44055</v>
      </c>
    </row>
    <row r="305" spans="1:11" s="107" customFormat="1" x14ac:dyDescent="0.25">
      <c r="A305" s="6">
        <v>99</v>
      </c>
      <c r="B305" s="160" t="s">
        <v>197</v>
      </c>
      <c r="C305" s="6">
        <v>0</v>
      </c>
      <c r="D305" s="15">
        <v>44054</v>
      </c>
    </row>
    <row r="306" spans="1:11" s="107" customFormat="1" x14ac:dyDescent="0.25">
      <c r="A306" s="6">
        <v>0</v>
      </c>
      <c r="B306" s="160"/>
      <c r="C306" s="6"/>
      <c r="D306" s="15">
        <f>+D305</f>
        <v>44054</v>
      </c>
      <c r="E306" s="131"/>
      <c r="F306" s="131"/>
      <c r="G306" s="131"/>
      <c r="H306" s="131"/>
      <c r="I306" s="131"/>
      <c r="J306" s="100"/>
      <c r="K306" s="101"/>
    </row>
    <row r="307" spans="1:11" s="224" customFormat="1" x14ac:dyDescent="0.25">
      <c r="A307" s="6"/>
      <c r="C307" s="6"/>
      <c r="D307" s="15"/>
      <c r="E307" s="131"/>
      <c r="F307" s="131"/>
      <c r="G307" s="131"/>
      <c r="H307" s="131"/>
      <c r="I307" s="131"/>
      <c r="J307" s="100"/>
      <c r="K307" s="101"/>
    </row>
    <row r="308" spans="1:11" s="224" customFormat="1" ht="197.25" customHeight="1" x14ac:dyDescent="0.25">
      <c r="A308" s="348" t="s">
        <v>585</v>
      </c>
      <c r="B308" s="349"/>
      <c r="C308" s="349"/>
      <c r="D308" s="349"/>
      <c r="E308" s="349"/>
      <c r="F308" s="349"/>
      <c r="G308" s="349"/>
      <c r="H308" s="349"/>
      <c r="I308" s="131"/>
      <c r="J308" s="100"/>
      <c r="K308" s="101"/>
    </row>
    <row r="309" spans="1:11" ht="77.25" customHeight="1" x14ac:dyDescent="0.25">
      <c r="A309" s="335" t="s">
        <v>586</v>
      </c>
      <c r="B309" s="335"/>
      <c r="C309" s="335"/>
      <c r="D309" s="335"/>
      <c r="E309" s="335"/>
      <c r="F309" s="335"/>
      <c r="G309" s="335"/>
      <c r="H309" s="335"/>
    </row>
    <row r="310" spans="1:11" ht="27" customHeight="1" x14ac:dyDescent="0.25">
      <c r="A310" s="335"/>
      <c r="B310" s="335"/>
      <c r="C310" s="335"/>
      <c r="D310" s="335"/>
      <c r="E310" s="335"/>
      <c r="F310" s="335"/>
      <c r="G310" s="335"/>
      <c r="H310" s="335"/>
    </row>
    <row r="311" spans="1:11" ht="27" customHeight="1" x14ac:dyDescent="0.25">
      <c r="A311" s="335"/>
      <c r="B311" s="335"/>
      <c r="C311" s="335"/>
      <c r="D311" s="335"/>
      <c r="E311" s="335"/>
      <c r="F311" s="335"/>
      <c r="G311" s="335"/>
      <c r="H311" s="335"/>
    </row>
    <row r="312" spans="1:11" ht="41.25" customHeight="1" x14ac:dyDescent="0.25">
      <c r="A312" s="335"/>
      <c r="B312" s="335"/>
      <c r="C312" s="335"/>
      <c r="D312" s="335"/>
      <c r="E312" s="335"/>
      <c r="F312" s="335"/>
      <c r="G312" s="335"/>
      <c r="H312" s="335"/>
    </row>
    <row r="313" spans="1:11" ht="10.5" customHeight="1" x14ac:dyDescent="0.25"/>
    <row r="314" spans="1:11" x14ac:dyDescent="0.25">
      <c r="A314" s="2" t="s">
        <v>202</v>
      </c>
    </row>
    <row r="315" spans="1:11" ht="36" x14ac:dyDescent="0.25">
      <c r="A315" s="102" t="s">
        <v>19</v>
      </c>
      <c r="B315" s="102"/>
      <c r="C315" s="102"/>
      <c r="D315" s="102" t="s">
        <v>18</v>
      </c>
    </row>
    <row r="316" spans="1:11" x14ac:dyDescent="0.25">
      <c r="A316">
        <v>0</v>
      </c>
      <c r="D316" s="15">
        <v>44019</v>
      </c>
      <c r="E316" s="99"/>
      <c r="F316" s="99"/>
      <c r="G316" s="99"/>
      <c r="H316" s="99"/>
      <c r="I316" s="99"/>
      <c r="J316" s="100"/>
      <c r="K316" s="101"/>
    </row>
    <row r="317" spans="1:11" x14ac:dyDescent="0.25">
      <c r="A317">
        <v>9</v>
      </c>
      <c r="D317" s="15">
        <v>44020</v>
      </c>
      <c r="E317" s="99"/>
      <c r="F317" s="99"/>
      <c r="G317" s="99"/>
      <c r="H317" s="99"/>
      <c r="I317" s="99"/>
      <c r="J317" s="100"/>
      <c r="K317" s="101"/>
    </row>
    <row r="318" spans="1:11" x14ac:dyDescent="0.25">
      <c r="A318">
        <v>8</v>
      </c>
      <c r="D318" s="15">
        <v>44021</v>
      </c>
      <c r="E318" s="99"/>
      <c r="F318" s="99"/>
      <c r="G318" s="99"/>
      <c r="H318" s="99"/>
      <c r="I318" s="99"/>
      <c r="J318" s="100"/>
      <c r="K318" s="101"/>
    </row>
    <row r="319" spans="1:11" x14ac:dyDescent="0.25">
      <c r="A319">
        <v>7</v>
      </c>
      <c r="D319" s="15">
        <v>44022</v>
      </c>
      <c r="E319" s="99"/>
      <c r="F319" s="99"/>
      <c r="G319" s="99"/>
      <c r="H319" s="99"/>
      <c r="I319" s="99"/>
      <c r="J319" s="100"/>
      <c r="K319" s="101"/>
    </row>
    <row r="320" spans="1:11" x14ac:dyDescent="0.25">
      <c r="A320">
        <v>6</v>
      </c>
      <c r="D320" s="15">
        <v>44025</v>
      </c>
      <c r="E320" s="99"/>
      <c r="F320" s="99"/>
      <c r="G320" s="99"/>
      <c r="H320" s="99"/>
      <c r="I320" s="99"/>
      <c r="J320" s="100"/>
      <c r="K320" s="101"/>
    </row>
    <row r="321" spans="1:11" x14ac:dyDescent="0.25">
      <c r="A321">
        <v>5</v>
      </c>
      <c r="D321" s="15">
        <v>44026</v>
      </c>
      <c r="E321" s="99"/>
      <c r="F321" s="99"/>
      <c r="G321" s="99"/>
      <c r="H321" s="99"/>
      <c r="I321" s="99"/>
      <c r="J321" s="100"/>
      <c r="K321" s="101"/>
    </row>
    <row r="322" spans="1:11" x14ac:dyDescent="0.25">
      <c r="A322">
        <v>4</v>
      </c>
      <c r="D322" s="15">
        <v>44027</v>
      </c>
      <c r="E322" s="99"/>
      <c r="F322" s="99"/>
      <c r="G322" s="99"/>
      <c r="H322" s="99"/>
      <c r="I322" s="99"/>
      <c r="J322" s="100"/>
      <c r="K322" s="101"/>
    </row>
    <row r="323" spans="1:11" x14ac:dyDescent="0.25">
      <c r="A323">
        <v>3</v>
      </c>
      <c r="D323" s="15">
        <v>44028</v>
      </c>
      <c r="E323" s="99"/>
      <c r="F323" s="99"/>
      <c r="G323" s="99"/>
      <c r="H323" s="99"/>
      <c r="I323" s="99"/>
      <c r="J323" s="100"/>
      <c r="K323" s="101"/>
    </row>
    <row r="324" spans="1:11" x14ac:dyDescent="0.25">
      <c r="A324">
        <v>2</v>
      </c>
      <c r="D324" s="15">
        <v>44029</v>
      </c>
      <c r="E324" s="99"/>
      <c r="F324" s="99"/>
      <c r="G324" s="99"/>
      <c r="H324" s="99"/>
      <c r="I324" s="99"/>
      <c r="J324" s="100"/>
      <c r="K324" s="101"/>
    </row>
    <row r="325" spans="1:11" x14ac:dyDescent="0.25">
      <c r="A325">
        <v>1</v>
      </c>
      <c r="D325" s="15">
        <v>44033</v>
      </c>
      <c r="E325" s="99"/>
      <c r="F325" s="99"/>
      <c r="G325" s="99"/>
      <c r="H325" s="99"/>
      <c r="I325" s="99"/>
      <c r="J325" s="100"/>
      <c r="K325" s="101"/>
    </row>
    <row r="327" spans="1:11" s="99" customFormat="1" ht="27" customHeight="1" x14ac:dyDescent="0.25">
      <c r="A327" s="335" t="s">
        <v>587</v>
      </c>
      <c r="B327" s="335"/>
      <c r="C327" s="335"/>
      <c r="D327" s="335"/>
      <c r="E327" s="335"/>
      <c r="F327" s="335"/>
      <c r="G327" s="335"/>
      <c r="H327" s="335"/>
    </row>
    <row r="328" spans="1:11" s="99" customFormat="1" ht="27" customHeight="1" x14ac:dyDescent="0.25">
      <c r="A328" s="335"/>
      <c r="B328" s="335"/>
      <c r="C328" s="335"/>
      <c r="D328" s="335"/>
      <c r="E328" s="335"/>
      <c r="F328" s="335"/>
      <c r="G328" s="335"/>
      <c r="H328" s="335"/>
    </row>
    <row r="329" spans="1:11" s="99" customFormat="1" ht="62.25" customHeight="1" x14ac:dyDescent="0.25">
      <c r="A329" s="335"/>
      <c r="B329" s="335"/>
      <c r="C329" s="335"/>
      <c r="D329" s="335"/>
      <c r="E329" s="335"/>
      <c r="F329" s="335"/>
      <c r="G329" s="335"/>
      <c r="H329" s="335"/>
    </row>
    <row r="330" spans="1:11" s="99" customFormat="1" x14ac:dyDescent="0.25"/>
    <row r="331" spans="1:11" s="99" customFormat="1" x14ac:dyDescent="0.25">
      <c r="A331" s="2" t="s">
        <v>203</v>
      </c>
    </row>
    <row r="332" spans="1:11" s="99" customFormat="1" ht="36" x14ac:dyDescent="0.25">
      <c r="A332" s="102" t="s">
        <v>19</v>
      </c>
      <c r="B332" s="102"/>
      <c r="C332" s="102"/>
      <c r="D332" s="102" t="s">
        <v>18</v>
      </c>
    </row>
    <row r="333" spans="1:11" s="99" customFormat="1" x14ac:dyDescent="0.25">
      <c r="A333" s="99">
        <v>0</v>
      </c>
      <c r="D333" s="15">
        <v>44019</v>
      </c>
      <c r="J333" s="100"/>
      <c r="K333" s="101"/>
    </row>
    <row r="334" spans="1:11" s="99" customFormat="1" x14ac:dyDescent="0.25">
      <c r="A334" s="99">
        <v>9</v>
      </c>
      <c r="D334" s="15">
        <v>44020</v>
      </c>
      <c r="J334" s="100"/>
      <c r="K334" s="101"/>
    </row>
    <row r="335" spans="1:11" s="99" customFormat="1" x14ac:dyDescent="0.25">
      <c r="A335" s="99">
        <v>8</v>
      </c>
      <c r="D335" s="15">
        <v>44021</v>
      </c>
      <c r="J335" s="100"/>
      <c r="K335" s="101"/>
    </row>
    <row r="336" spans="1:11" s="99" customFormat="1" x14ac:dyDescent="0.25">
      <c r="A336" s="99">
        <v>7</v>
      </c>
      <c r="D336" s="15">
        <v>44022</v>
      </c>
      <c r="J336" s="100"/>
      <c r="K336" s="101"/>
    </row>
    <row r="337" spans="1:11" s="99" customFormat="1" x14ac:dyDescent="0.25">
      <c r="A337" s="99">
        <v>6</v>
      </c>
      <c r="D337" s="15">
        <v>44025</v>
      </c>
      <c r="J337" s="100"/>
      <c r="K337" s="101"/>
    </row>
    <row r="338" spans="1:11" s="99" customFormat="1" x14ac:dyDescent="0.25">
      <c r="A338" s="99">
        <v>5</v>
      </c>
      <c r="D338" s="15">
        <v>44026</v>
      </c>
      <c r="J338" s="100"/>
      <c r="K338" s="101"/>
    </row>
    <row r="339" spans="1:11" s="99" customFormat="1" x14ac:dyDescent="0.25">
      <c r="A339" s="99">
        <v>4</v>
      </c>
      <c r="D339" s="15">
        <v>44027</v>
      </c>
      <c r="J339" s="100"/>
      <c r="K339" s="101"/>
    </row>
    <row r="340" spans="1:11" s="99" customFormat="1" x14ac:dyDescent="0.25">
      <c r="A340" s="99">
        <v>3</v>
      </c>
      <c r="D340" s="15">
        <v>44028</v>
      </c>
      <c r="J340" s="100"/>
      <c r="K340" s="101"/>
    </row>
    <row r="341" spans="1:11" s="99" customFormat="1" x14ac:dyDescent="0.25">
      <c r="A341" s="99">
        <v>2</v>
      </c>
      <c r="D341" s="15">
        <v>44029</v>
      </c>
      <c r="J341" s="100"/>
      <c r="K341" s="101"/>
    </row>
    <row r="342" spans="1:11" s="99" customFormat="1" x14ac:dyDescent="0.25">
      <c r="A342" s="99">
        <v>1</v>
      </c>
      <c r="D342" s="15">
        <v>44033</v>
      </c>
      <c r="J342" s="100"/>
      <c r="K342" s="101"/>
    </row>
    <row r="343" spans="1:11" s="224" customFormat="1" x14ac:dyDescent="0.25">
      <c r="D343" s="15"/>
      <c r="J343" s="100"/>
      <c r="K343" s="101"/>
    </row>
    <row r="344" spans="1:11" s="224" customFormat="1" ht="117" customHeight="1" x14ac:dyDescent="0.25">
      <c r="A344" s="350" t="s">
        <v>588</v>
      </c>
      <c r="B344" s="350"/>
      <c r="C344" s="350"/>
      <c r="D344" s="350"/>
      <c r="E344" s="350"/>
      <c r="F344" s="350"/>
      <c r="G344" s="350"/>
      <c r="H344" s="350"/>
      <c r="J344" s="100"/>
      <c r="K344" s="101"/>
    </row>
    <row r="345" spans="1:11" s="224" customFormat="1" ht="36" x14ac:dyDescent="0.25">
      <c r="A345" s="102" t="s">
        <v>19</v>
      </c>
      <c r="B345" s="102"/>
      <c r="C345" s="102"/>
      <c r="D345" s="102" t="s">
        <v>18</v>
      </c>
      <c r="J345" s="100"/>
      <c r="K345" s="101"/>
    </row>
    <row r="346" spans="1:11" s="99" customFormat="1" x14ac:dyDescent="0.25">
      <c r="A346" s="168">
        <v>0</v>
      </c>
      <c r="B346" s="168"/>
      <c r="C346" s="168"/>
      <c r="D346" s="15">
        <v>44175</v>
      </c>
      <c r="E346" s="168"/>
      <c r="F346" s="168"/>
      <c r="G346" s="168"/>
      <c r="H346" s="168"/>
    </row>
    <row r="347" spans="1:11" x14ac:dyDescent="0.25">
      <c r="A347" s="167">
        <v>9</v>
      </c>
      <c r="B347" s="167"/>
      <c r="C347" s="167"/>
      <c r="D347" s="15">
        <v>44176</v>
      </c>
      <c r="E347" s="167"/>
      <c r="F347" s="167"/>
      <c r="G347" s="167"/>
      <c r="H347" s="167"/>
    </row>
    <row r="348" spans="1:11" x14ac:dyDescent="0.25">
      <c r="A348" s="164">
        <v>8</v>
      </c>
      <c r="B348" s="164"/>
      <c r="C348" s="164"/>
      <c r="D348" s="15">
        <v>44179</v>
      </c>
      <c r="E348" s="164"/>
      <c r="F348" s="164"/>
      <c r="G348" s="164"/>
      <c r="H348" s="164"/>
    </row>
    <row r="349" spans="1:11" x14ac:dyDescent="0.25">
      <c r="A349" s="164">
        <v>7</v>
      </c>
      <c r="B349" s="164"/>
      <c r="C349" s="164"/>
      <c r="D349" s="15">
        <v>44180</v>
      </c>
      <c r="E349" s="164"/>
      <c r="F349" s="164"/>
      <c r="G349" s="164"/>
      <c r="H349" s="164"/>
    </row>
    <row r="350" spans="1:11" x14ac:dyDescent="0.25">
      <c r="A350" s="133">
        <v>6</v>
      </c>
      <c r="B350" s="131"/>
      <c r="C350" s="131"/>
      <c r="D350" s="15">
        <v>44181</v>
      </c>
      <c r="E350" s="131"/>
      <c r="F350" s="131"/>
      <c r="G350" s="131"/>
      <c r="H350" s="131"/>
    </row>
    <row r="351" spans="1:11" x14ac:dyDescent="0.25">
      <c r="A351" s="133">
        <v>5</v>
      </c>
      <c r="B351" s="165"/>
      <c r="C351" s="165"/>
      <c r="D351" s="15">
        <v>44182</v>
      </c>
      <c r="E351" s="131"/>
      <c r="F351" s="131"/>
      <c r="G351" s="131"/>
      <c r="H351" s="131"/>
    </row>
    <row r="352" spans="1:11" x14ac:dyDescent="0.25">
      <c r="A352" s="166">
        <v>4</v>
      </c>
      <c r="B352" s="166"/>
      <c r="C352" s="166"/>
      <c r="D352" s="15">
        <v>44183</v>
      </c>
      <c r="E352" s="131"/>
      <c r="F352" s="131"/>
      <c r="G352" s="131"/>
      <c r="H352" s="131"/>
    </row>
    <row r="353" spans="1:11" x14ac:dyDescent="0.25">
      <c r="A353" s="166">
        <v>3</v>
      </c>
      <c r="B353" s="166"/>
      <c r="C353" s="166"/>
      <c r="D353" s="15">
        <v>44186</v>
      </c>
      <c r="E353" s="131"/>
      <c r="F353" s="131"/>
      <c r="G353" s="131"/>
      <c r="H353" s="131"/>
    </row>
    <row r="354" spans="1:11" s="142" customFormat="1" x14ac:dyDescent="0.25">
      <c r="A354" s="142">
        <v>2</v>
      </c>
      <c r="D354" s="15">
        <v>44187</v>
      </c>
    </row>
    <row r="355" spans="1:11" x14ac:dyDescent="0.25">
      <c r="A355">
        <v>1</v>
      </c>
      <c r="D355" s="15">
        <v>44188</v>
      </c>
    </row>
    <row r="356" spans="1:11" ht="159" customHeight="1" x14ac:dyDescent="0.25">
      <c r="A356" s="346" t="s">
        <v>506</v>
      </c>
      <c r="B356" s="346"/>
      <c r="C356" s="346"/>
      <c r="D356" s="346"/>
      <c r="E356" s="346"/>
      <c r="F356" s="346"/>
      <c r="G356" s="346"/>
      <c r="H356" s="346"/>
    </row>
    <row r="357" spans="1:11" ht="36" x14ac:dyDescent="0.25">
      <c r="A357" s="138" t="s">
        <v>19</v>
      </c>
      <c r="B357" s="139"/>
      <c r="C357" s="139"/>
      <c r="D357" s="140" t="s">
        <v>34</v>
      </c>
      <c r="E357" s="140" t="s">
        <v>35</v>
      </c>
      <c r="F357" s="140" t="s">
        <v>36</v>
      </c>
      <c r="G357" s="140" t="s">
        <v>37</v>
      </c>
      <c r="H357" s="140" t="s">
        <v>38</v>
      </c>
      <c r="I357" s="140" t="s">
        <v>39</v>
      </c>
      <c r="J357" s="7"/>
    </row>
    <row r="358" spans="1:11" x14ac:dyDescent="0.25">
      <c r="A358" s="103">
        <v>0</v>
      </c>
      <c r="D358" s="15">
        <v>43900</v>
      </c>
      <c r="E358" s="174">
        <v>43963</v>
      </c>
      <c r="F358" s="15">
        <v>44019</v>
      </c>
      <c r="G358" s="174">
        <v>44082</v>
      </c>
      <c r="H358" s="15">
        <v>44145</v>
      </c>
      <c r="I358" s="174">
        <v>44209</v>
      </c>
      <c r="K358" s="17"/>
    </row>
    <row r="359" spans="1:11" x14ac:dyDescent="0.25">
      <c r="A359" s="103">
        <v>9</v>
      </c>
      <c r="D359" s="15">
        <v>43901</v>
      </c>
      <c r="E359" s="174">
        <v>43964</v>
      </c>
      <c r="F359" s="15">
        <v>44020</v>
      </c>
      <c r="G359" s="174">
        <v>44083</v>
      </c>
      <c r="H359" s="15">
        <v>44146</v>
      </c>
      <c r="I359" s="174">
        <v>44210</v>
      </c>
    </row>
    <row r="360" spans="1:11" x14ac:dyDescent="0.25">
      <c r="A360" s="103">
        <v>8</v>
      </c>
      <c r="D360" s="15">
        <v>43902</v>
      </c>
      <c r="E360" s="174">
        <v>43965</v>
      </c>
      <c r="F360" s="15">
        <v>44021</v>
      </c>
      <c r="G360" s="174">
        <v>44084</v>
      </c>
      <c r="H360" s="15">
        <v>44147</v>
      </c>
      <c r="I360" s="174">
        <v>44211</v>
      </c>
    </row>
    <row r="361" spans="1:11" x14ac:dyDescent="0.25">
      <c r="A361" s="103">
        <v>7</v>
      </c>
      <c r="D361" s="15">
        <v>43903</v>
      </c>
      <c r="E361" s="174">
        <v>43966</v>
      </c>
      <c r="F361" s="15">
        <v>44022</v>
      </c>
      <c r="G361" s="174">
        <v>44085</v>
      </c>
      <c r="H361" s="15">
        <v>44148</v>
      </c>
      <c r="I361" s="174">
        <v>44214</v>
      </c>
    </row>
    <row r="362" spans="1:11" x14ac:dyDescent="0.25">
      <c r="A362" s="103">
        <v>6</v>
      </c>
      <c r="D362" s="15">
        <v>43906</v>
      </c>
      <c r="E362" s="174">
        <v>43969</v>
      </c>
      <c r="F362" s="15">
        <v>44025</v>
      </c>
      <c r="G362" s="174">
        <v>44088</v>
      </c>
      <c r="H362" s="15">
        <v>44152</v>
      </c>
      <c r="I362" s="174">
        <v>44215</v>
      </c>
    </row>
    <row r="363" spans="1:11" x14ac:dyDescent="0.25">
      <c r="A363" s="103">
        <v>5</v>
      </c>
      <c r="D363" s="15">
        <v>43907</v>
      </c>
      <c r="E363" s="174">
        <v>43970</v>
      </c>
      <c r="F363" s="15">
        <v>44026</v>
      </c>
      <c r="G363" s="174">
        <v>44089</v>
      </c>
      <c r="H363" s="15">
        <v>44153</v>
      </c>
      <c r="I363" s="174">
        <v>44216</v>
      </c>
    </row>
    <row r="364" spans="1:11" x14ac:dyDescent="0.25">
      <c r="A364" s="103">
        <v>4</v>
      </c>
      <c r="D364" s="15">
        <v>43908</v>
      </c>
      <c r="E364" s="174">
        <v>43971</v>
      </c>
      <c r="F364" s="15">
        <v>44027</v>
      </c>
      <c r="G364" s="174">
        <v>44090</v>
      </c>
      <c r="H364" s="15">
        <v>44154</v>
      </c>
      <c r="I364" s="174">
        <v>44217</v>
      </c>
    </row>
    <row r="365" spans="1:11" x14ac:dyDescent="0.25">
      <c r="A365" s="103">
        <v>3</v>
      </c>
      <c r="D365" s="15">
        <v>43909</v>
      </c>
      <c r="E365" s="174">
        <v>43972</v>
      </c>
      <c r="F365" s="15">
        <v>44028</v>
      </c>
      <c r="G365" s="174">
        <v>44091</v>
      </c>
      <c r="H365" s="15">
        <v>44155</v>
      </c>
      <c r="I365" s="174">
        <v>44218</v>
      </c>
    </row>
    <row r="366" spans="1:11" x14ac:dyDescent="0.25">
      <c r="A366" s="103">
        <v>2</v>
      </c>
      <c r="D366" s="15">
        <v>43910</v>
      </c>
      <c r="E366" s="174">
        <v>43973</v>
      </c>
      <c r="F366" s="15">
        <v>44029</v>
      </c>
      <c r="G366" s="174">
        <v>44092</v>
      </c>
      <c r="H366" s="15">
        <v>44158</v>
      </c>
      <c r="I366" s="174">
        <v>44221</v>
      </c>
      <c r="J366" s="15"/>
    </row>
    <row r="367" spans="1:11" x14ac:dyDescent="0.25">
      <c r="A367" s="103">
        <v>1</v>
      </c>
      <c r="D367" s="15">
        <v>43914</v>
      </c>
      <c r="E367" s="174">
        <v>43977</v>
      </c>
      <c r="F367" s="15">
        <v>44033</v>
      </c>
      <c r="G367" s="174">
        <v>44095</v>
      </c>
      <c r="H367" s="15">
        <v>44159</v>
      </c>
      <c r="I367" s="174">
        <v>44222</v>
      </c>
    </row>
    <row r="368" spans="1:11" ht="63" customHeight="1" x14ac:dyDescent="0.25"/>
    <row r="370" spans="1:11" s="142" customFormat="1" ht="93" customHeight="1" x14ac:dyDescent="0.25">
      <c r="A370" s="346" t="s">
        <v>507</v>
      </c>
      <c r="B370" s="346"/>
      <c r="C370" s="346"/>
      <c r="D370" s="346"/>
      <c r="E370" s="346"/>
      <c r="F370" s="346"/>
      <c r="G370" s="346"/>
      <c r="H370" s="346"/>
    </row>
    <row r="371" spans="1:11" s="142" customFormat="1" ht="36" x14ac:dyDescent="0.25">
      <c r="A371" s="138" t="s">
        <v>19</v>
      </c>
      <c r="B371" s="139"/>
      <c r="C371" s="139"/>
      <c r="D371" s="140" t="s">
        <v>34</v>
      </c>
      <c r="E371" s="140" t="s">
        <v>35</v>
      </c>
      <c r="F371" s="140" t="s">
        <v>36</v>
      </c>
      <c r="G371" s="140" t="s">
        <v>37</v>
      </c>
      <c r="H371" s="140" t="s">
        <v>38</v>
      </c>
      <c r="I371" s="140" t="s">
        <v>39</v>
      </c>
      <c r="J371" s="7"/>
    </row>
    <row r="372" spans="1:11" s="142" customFormat="1" x14ac:dyDescent="0.25">
      <c r="A372" s="103">
        <v>0</v>
      </c>
      <c r="B372" s="161"/>
      <c r="C372" s="161"/>
      <c r="D372" s="15">
        <v>43900</v>
      </c>
      <c r="E372" s="174">
        <v>43963</v>
      </c>
      <c r="F372" s="15">
        <v>44019</v>
      </c>
      <c r="G372" s="174">
        <v>44082</v>
      </c>
      <c r="H372" s="15">
        <v>44145</v>
      </c>
      <c r="I372" s="174">
        <v>44209</v>
      </c>
      <c r="K372" s="17"/>
    </row>
    <row r="373" spans="1:11" s="142" customFormat="1" x14ac:dyDescent="0.25">
      <c r="A373" s="103">
        <v>9</v>
      </c>
      <c r="B373" s="161"/>
      <c r="C373" s="161"/>
      <c r="D373" s="15">
        <v>43901</v>
      </c>
      <c r="E373" s="174">
        <v>43964</v>
      </c>
      <c r="F373" s="15">
        <v>44020</v>
      </c>
      <c r="G373" s="174">
        <v>44083</v>
      </c>
      <c r="H373" s="15">
        <v>44146</v>
      </c>
      <c r="I373" s="174">
        <v>44210</v>
      </c>
    </row>
    <row r="374" spans="1:11" s="142" customFormat="1" x14ac:dyDescent="0.25">
      <c r="A374" s="103">
        <v>8</v>
      </c>
      <c r="B374" s="161"/>
      <c r="C374" s="161"/>
      <c r="D374" s="15">
        <v>43902</v>
      </c>
      <c r="E374" s="174">
        <v>43965</v>
      </c>
      <c r="F374" s="15">
        <v>44021</v>
      </c>
      <c r="G374" s="174">
        <v>44084</v>
      </c>
      <c r="H374" s="15">
        <v>44147</v>
      </c>
      <c r="I374" s="174">
        <v>44211</v>
      </c>
    </row>
    <row r="375" spans="1:11" s="142" customFormat="1" x14ac:dyDescent="0.25">
      <c r="A375" s="103">
        <v>7</v>
      </c>
      <c r="B375" s="161"/>
      <c r="C375" s="161"/>
      <c r="D375" s="15">
        <v>43903</v>
      </c>
      <c r="E375" s="174">
        <v>43966</v>
      </c>
      <c r="F375" s="15">
        <v>44022</v>
      </c>
      <c r="G375" s="174">
        <v>44085</v>
      </c>
      <c r="H375" s="15">
        <v>44148</v>
      </c>
      <c r="I375" s="174">
        <v>44214</v>
      </c>
    </row>
    <row r="376" spans="1:11" s="142" customFormat="1" x14ac:dyDescent="0.25">
      <c r="A376" s="103">
        <v>6</v>
      </c>
      <c r="B376" s="161"/>
      <c r="C376" s="161"/>
      <c r="D376" s="15">
        <v>43906</v>
      </c>
      <c r="E376" s="174">
        <v>43969</v>
      </c>
      <c r="F376" s="15">
        <v>44025</v>
      </c>
      <c r="G376" s="174">
        <v>44088</v>
      </c>
      <c r="H376" s="15">
        <v>44152</v>
      </c>
      <c r="I376" s="174">
        <v>44215</v>
      </c>
    </row>
    <row r="377" spans="1:11" s="142" customFormat="1" x14ac:dyDescent="0.25">
      <c r="A377" s="103">
        <v>5</v>
      </c>
      <c r="B377" s="161"/>
      <c r="C377" s="161"/>
      <c r="D377" s="15">
        <v>43907</v>
      </c>
      <c r="E377" s="174">
        <v>43970</v>
      </c>
      <c r="F377" s="15">
        <v>44026</v>
      </c>
      <c r="G377" s="174">
        <v>44089</v>
      </c>
      <c r="H377" s="15">
        <v>44153</v>
      </c>
      <c r="I377" s="174">
        <v>44216</v>
      </c>
    </row>
    <row r="378" spans="1:11" s="142" customFormat="1" x14ac:dyDescent="0.25">
      <c r="A378" s="103">
        <v>4</v>
      </c>
      <c r="B378" s="161"/>
      <c r="C378" s="161"/>
      <c r="D378" s="15">
        <v>43908</v>
      </c>
      <c r="E378" s="174">
        <v>43971</v>
      </c>
      <c r="F378" s="15">
        <v>44027</v>
      </c>
      <c r="G378" s="174">
        <v>44090</v>
      </c>
      <c r="H378" s="15">
        <v>44154</v>
      </c>
      <c r="I378" s="174">
        <v>44217</v>
      </c>
    </row>
    <row r="379" spans="1:11" s="142" customFormat="1" x14ac:dyDescent="0.25">
      <c r="A379" s="103">
        <v>3</v>
      </c>
      <c r="B379" s="161"/>
      <c r="C379" s="161"/>
      <c r="D379" s="15">
        <v>43909</v>
      </c>
      <c r="E379" s="174">
        <v>43972</v>
      </c>
      <c r="F379" s="15">
        <v>44028</v>
      </c>
      <c r="G379" s="174">
        <v>44091</v>
      </c>
      <c r="H379" s="15">
        <v>44155</v>
      </c>
      <c r="I379" s="174">
        <v>44218</v>
      </c>
    </row>
    <row r="380" spans="1:11" s="142" customFormat="1" x14ac:dyDescent="0.25">
      <c r="A380" s="103">
        <v>2</v>
      </c>
      <c r="B380" s="161"/>
      <c r="C380" s="161"/>
      <c r="D380" s="15">
        <v>43910</v>
      </c>
      <c r="E380" s="174">
        <v>43973</v>
      </c>
      <c r="F380" s="15">
        <v>44029</v>
      </c>
      <c r="G380" s="174">
        <v>44092</v>
      </c>
      <c r="H380" s="15">
        <v>44158</v>
      </c>
      <c r="I380" s="174">
        <v>44221</v>
      </c>
    </row>
    <row r="381" spans="1:11" s="142" customFormat="1" x14ac:dyDescent="0.25">
      <c r="A381" s="103">
        <v>1</v>
      </c>
      <c r="B381" s="161"/>
      <c r="C381" s="161"/>
      <c r="D381" s="15">
        <v>43914</v>
      </c>
      <c r="E381" s="174">
        <v>43977</v>
      </c>
      <c r="F381" s="15">
        <v>44033</v>
      </c>
      <c r="G381" s="174">
        <v>44095</v>
      </c>
      <c r="H381" s="15">
        <v>44159</v>
      </c>
      <c r="I381" s="174">
        <v>44222</v>
      </c>
    </row>
    <row r="382" spans="1:11" s="142" customFormat="1" x14ac:dyDescent="0.25"/>
    <row r="383" spans="1:11" s="142" customFormat="1" ht="27" customHeight="1" x14ac:dyDescent="0.25">
      <c r="A383" s="345" t="s">
        <v>349</v>
      </c>
      <c r="B383" s="345"/>
      <c r="C383" s="345"/>
      <c r="D383" s="345"/>
      <c r="E383" s="345"/>
      <c r="F383" s="345"/>
      <c r="G383" s="345"/>
      <c r="H383" s="345"/>
    </row>
    <row r="384" spans="1:11" s="142" customFormat="1" ht="27" customHeight="1" x14ac:dyDescent="0.25">
      <c r="A384" s="345"/>
      <c r="B384" s="345"/>
      <c r="C384" s="345"/>
      <c r="D384" s="345"/>
      <c r="E384" s="345"/>
      <c r="F384" s="345"/>
      <c r="G384" s="345"/>
      <c r="H384" s="345"/>
    </row>
    <row r="385" spans="1:15" s="142" customFormat="1" ht="60" x14ac:dyDescent="0.25">
      <c r="A385" s="141" t="s">
        <v>19</v>
      </c>
      <c r="B385" s="141"/>
      <c r="C385" s="141"/>
      <c r="D385" s="141" t="s">
        <v>18</v>
      </c>
    </row>
    <row r="386" spans="1:15" s="142" customFormat="1" x14ac:dyDescent="0.25">
      <c r="A386" s="155">
        <v>0</v>
      </c>
      <c r="D386" s="175" t="s">
        <v>348</v>
      </c>
      <c r="J386" s="100"/>
      <c r="K386" s="101"/>
    </row>
    <row r="387" spans="1:15" s="142" customFormat="1" x14ac:dyDescent="0.25">
      <c r="A387" s="155">
        <v>9</v>
      </c>
      <c r="D387" s="175" t="s">
        <v>348</v>
      </c>
      <c r="J387" s="100"/>
      <c r="K387" s="101"/>
    </row>
    <row r="388" spans="1:15" s="142" customFormat="1" x14ac:dyDescent="0.25">
      <c r="A388" s="155">
        <v>8</v>
      </c>
      <c r="D388" s="175" t="s">
        <v>348</v>
      </c>
      <c r="J388" s="100"/>
      <c r="K388" s="101"/>
    </row>
    <row r="389" spans="1:15" s="142" customFormat="1" x14ac:dyDescent="0.25">
      <c r="A389" s="155">
        <v>7</v>
      </c>
      <c r="D389" s="175" t="s">
        <v>348</v>
      </c>
      <c r="J389" s="100"/>
      <c r="K389" s="101"/>
    </row>
    <row r="390" spans="1:15" s="142" customFormat="1" x14ac:dyDescent="0.25">
      <c r="A390" s="155">
        <v>6</v>
      </c>
      <c r="D390" s="175" t="s">
        <v>348</v>
      </c>
      <c r="J390" s="100"/>
      <c r="K390" s="101"/>
    </row>
    <row r="391" spans="1:15" s="142" customFormat="1" x14ac:dyDescent="0.25">
      <c r="A391" s="155">
        <v>5</v>
      </c>
      <c r="D391" s="175" t="s">
        <v>348</v>
      </c>
      <c r="J391" s="100"/>
      <c r="K391" s="101"/>
    </row>
    <row r="392" spans="1:15" s="142" customFormat="1" x14ac:dyDescent="0.25">
      <c r="A392" s="155">
        <v>4</v>
      </c>
      <c r="D392" s="175" t="s">
        <v>348</v>
      </c>
      <c r="J392" s="100"/>
      <c r="K392" s="101"/>
    </row>
    <row r="393" spans="1:15" s="142" customFormat="1" x14ac:dyDescent="0.25">
      <c r="A393" s="155">
        <v>3</v>
      </c>
      <c r="D393" s="175" t="s">
        <v>348</v>
      </c>
      <c r="J393" s="100"/>
      <c r="K393" s="101"/>
    </row>
    <row r="394" spans="1:15" s="142" customFormat="1" x14ac:dyDescent="0.25">
      <c r="A394" s="155">
        <v>2</v>
      </c>
      <c r="D394" s="175" t="s">
        <v>348</v>
      </c>
      <c r="J394" s="100"/>
      <c r="K394" s="101"/>
    </row>
    <row r="395" spans="1:15" s="142" customFormat="1" x14ac:dyDescent="0.25">
      <c r="A395" s="155">
        <v>1</v>
      </c>
      <c r="D395" s="175" t="s">
        <v>348</v>
      </c>
      <c r="J395" s="100"/>
      <c r="K395" s="101"/>
    </row>
    <row r="396" spans="1:15" s="142" customFormat="1" x14ac:dyDescent="0.25"/>
    <row r="398" spans="1:15" ht="99" customHeight="1" x14ac:dyDescent="0.25">
      <c r="A398" s="346" t="s">
        <v>350</v>
      </c>
      <c r="B398" s="346"/>
      <c r="C398" s="346"/>
      <c r="D398" s="346"/>
      <c r="E398" s="346"/>
      <c r="F398" s="346"/>
      <c r="G398" s="346"/>
      <c r="H398" s="346"/>
      <c r="I398" s="346"/>
      <c r="J398" s="346"/>
      <c r="K398" s="346"/>
      <c r="L398" s="346"/>
      <c r="M398" s="346"/>
      <c r="N398" s="346"/>
      <c r="O398" s="346"/>
    </row>
    <row r="399" spans="1:15" ht="60" x14ac:dyDescent="0.25">
      <c r="A399" s="146" t="s">
        <v>19</v>
      </c>
      <c r="B399" s="147"/>
      <c r="C399" s="147"/>
      <c r="D399" s="146" t="s">
        <v>1</v>
      </c>
      <c r="E399" s="146" t="s">
        <v>2</v>
      </c>
      <c r="F399" s="146" t="s">
        <v>3</v>
      </c>
      <c r="G399" s="146" t="s">
        <v>4</v>
      </c>
      <c r="H399" s="146" t="s">
        <v>5</v>
      </c>
      <c r="I399" s="146" t="s">
        <v>6</v>
      </c>
      <c r="J399" s="146" t="s">
        <v>7</v>
      </c>
      <c r="K399" s="146" t="s">
        <v>8</v>
      </c>
      <c r="L399" s="146" t="s">
        <v>12</v>
      </c>
      <c r="M399" s="146" t="s">
        <v>9</v>
      </c>
      <c r="N399" s="146" t="s">
        <v>10</v>
      </c>
      <c r="O399" s="146" t="s">
        <v>11</v>
      </c>
    </row>
    <row r="400" spans="1:15" x14ac:dyDescent="0.25">
      <c r="A400" s="98">
        <v>0</v>
      </c>
      <c r="D400" s="15">
        <v>43872</v>
      </c>
      <c r="E400" s="15">
        <v>43900</v>
      </c>
      <c r="F400" s="15">
        <v>43935</v>
      </c>
      <c r="G400" s="15">
        <v>43963</v>
      </c>
      <c r="H400" s="15">
        <v>43991</v>
      </c>
      <c r="I400" s="15">
        <v>44019</v>
      </c>
      <c r="J400" s="15">
        <v>44054</v>
      </c>
      <c r="K400" s="15">
        <v>44082</v>
      </c>
      <c r="L400" s="15">
        <v>44110</v>
      </c>
      <c r="M400" s="15">
        <v>44145</v>
      </c>
      <c r="N400" s="15">
        <v>44175</v>
      </c>
      <c r="O400" s="15">
        <v>44209</v>
      </c>
    </row>
    <row r="401" spans="1:15" x14ac:dyDescent="0.25">
      <c r="A401" s="98">
        <v>9</v>
      </c>
      <c r="D401" s="15">
        <v>43873</v>
      </c>
      <c r="E401" s="15">
        <v>43901</v>
      </c>
      <c r="F401" s="15">
        <v>43936</v>
      </c>
      <c r="G401" s="15">
        <v>43964</v>
      </c>
      <c r="H401" s="15">
        <v>43992</v>
      </c>
      <c r="I401" s="15">
        <v>44020</v>
      </c>
      <c r="J401" s="15">
        <v>44055</v>
      </c>
      <c r="K401" s="15">
        <v>44083</v>
      </c>
      <c r="L401" s="15">
        <v>44111</v>
      </c>
      <c r="M401" s="15">
        <v>44146</v>
      </c>
      <c r="N401" s="15">
        <v>44176</v>
      </c>
      <c r="O401" s="15">
        <v>44210</v>
      </c>
    </row>
    <row r="402" spans="1:15" x14ac:dyDescent="0.25">
      <c r="A402" s="98">
        <v>8</v>
      </c>
      <c r="D402" s="15">
        <v>43874</v>
      </c>
      <c r="E402" s="15">
        <v>43902</v>
      </c>
      <c r="F402" s="15">
        <v>43937</v>
      </c>
      <c r="G402" s="15">
        <v>43965</v>
      </c>
      <c r="H402" s="15">
        <v>43993</v>
      </c>
      <c r="I402" s="15">
        <v>44021</v>
      </c>
      <c r="J402" s="15">
        <v>44056</v>
      </c>
      <c r="K402" s="15">
        <v>44084</v>
      </c>
      <c r="L402" s="15">
        <v>44112</v>
      </c>
      <c r="M402" s="15">
        <v>44147</v>
      </c>
      <c r="N402" s="15">
        <v>44179</v>
      </c>
      <c r="O402" s="15">
        <v>44211</v>
      </c>
    </row>
    <row r="403" spans="1:15" x14ac:dyDescent="0.25">
      <c r="A403" s="98">
        <v>7</v>
      </c>
      <c r="D403" s="15">
        <v>43875</v>
      </c>
      <c r="E403" s="15">
        <v>43903</v>
      </c>
      <c r="F403" s="15">
        <v>43938</v>
      </c>
      <c r="G403" s="15">
        <v>43966</v>
      </c>
      <c r="H403" s="15">
        <v>43994</v>
      </c>
      <c r="I403" s="15">
        <v>44022</v>
      </c>
      <c r="J403" s="15">
        <v>44057</v>
      </c>
      <c r="K403" s="15">
        <v>44085</v>
      </c>
      <c r="L403" s="15">
        <v>44113</v>
      </c>
      <c r="M403" s="15">
        <v>44148</v>
      </c>
      <c r="N403" s="15">
        <v>44180</v>
      </c>
      <c r="O403" s="15">
        <v>44214</v>
      </c>
    </row>
    <row r="404" spans="1:15" x14ac:dyDescent="0.25">
      <c r="A404" s="98">
        <v>6</v>
      </c>
      <c r="D404" s="15">
        <v>43878</v>
      </c>
      <c r="E404" s="15">
        <v>43906</v>
      </c>
      <c r="F404" s="15">
        <v>43941</v>
      </c>
      <c r="G404" s="15">
        <v>43969</v>
      </c>
      <c r="H404" s="15">
        <v>43998</v>
      </c>
      <c r="I404" s="15">
        <v>44025</v>
      </c>
      <c r="J404" s="15">
        <v>44061</v>
      </c>
      <c r="K404" s="15">
        <v>44088</v>
      </c>
      <c r="L404" s="15">
        <v>44117</v>
      </c>
      <c r="M404" s="15">
        <v>44152</v>
      </c>
      <c r="N404" s="15">
        <v>44181</v>
      </c>
      <c r="O404" s="15">
        <v>44215</v>
      </c>
    </row>
    <row r="405" spans="1:15" x14ac:dyDescent="0.25">
      <c r="A405" s="98">
        <v>5</v>
      </c>
      <c r="D405" s="15">
        <v>43879</v>
      </c>
      <c r="E405" s="15">
        <v>43907</v>
      </c>
      <c r="F405" s="15">
        <v>43942</v>
      </c>
      <c r="G405" s="15">
        <v>43970</v>
      </c>
      <c r="H405" s="15">
        <v>43999</v>
      </c>
      <c r="I405" s="15">
        <v>44026</v>
      </c>
      <c r="J405" s="15">
        <v>44062</v>
      </c>
      <c r="K405" s="15">
        <v>44089</v>
      </c>
      <c r="L405" s="15">
        <v>44118</v>
      </c>
      <c r="M405" s="15">
        <v>44153</v>
      </c>
      <c r="N405" s="15">
        <v>44182</v>
      </c>
      <c r="O405" s="15">
        <v>44216</v>
      </c>
    </row>
    <row r="406" spans="1:15" x14ac:dyDescent="0.25">
      <c r="A406" s="98">
        <v>4</v>
      </c>
      <c r="D406" s="15">
        <v>43880</v>
      </c>
      <c r="E406" s="15">
        <v>43908</v>
      </c>
      <c r="F406" s="15">
        <v>43943</v>
      </c>
      <c r="G406" s="15">
        <v>43971</v>
      </c>
      <c r="H406" s="15">
        <v>44000</v>
      </c>
      <c r="I406" s="15">
        <v>44027</v>
      </c>
      <c r="J406" s="15">
        <v>44063</v>
      </c>
      <c r="K406" s="15">
        <v>44090</v>
      </c>
      <c r="L406" s="15">
        <v>44119</v>
      </c>
      <c r="M406" s="15">
        <v>44154</v>
      </c>
      <c r="N406" s="15">
        <v>44183</v>
      </c>
      <c r="O406" s="15">
        <v>44217</v>
      </c>
    </row>
    <row r="407" spans="1:15" x14ac:dyDescent="0.25">
      <c r="A407" s="98">
        <v>3</v>
      </c>
      <c r="D407" s="15">
        <v>43881</v>
      </c>
      <c r="E407" s="15">
        <v>43909</v>
      </c>
      <c r="F407" s="15">
        <v>43944</v>
      </c>
      <c r="G407" s="15">
        <v>43972</v>
      </c>
      <c r="H407" s="15">
        <v>44001</v>
      </c>
      <c r="I407" s="15">
        <v>44028</v>
      </c>
      <c r="J407" s="15">
        <v>44064</v>
      </c>
      <c r="K407" s="15">
        <v>44091</v>
      </c>
      <c r="L407" s="15">
        <v>44120</v>
      </c>
      <c r="M407" s="15">
        <v>44155</v>
      </c>
      <c r="N407" s="15">
        <v>44186</v>
      </c>
      <c r="O407" s="15">
        <v>44218</v>
      </c>
    </row>
    <row r="408" spans="1:15" x14ac:dyDescent="0.25">
      <c r="A408" s="98">
        <v>2</v>
      </c>
      <c r="D408" s="15">
        <v>43882</v>
      </c>
      <c r="E408" s="15">
        <v>43910</v>
      </c>
      <c r="F408" s="15">
        <v>43945</v>
      </c>
      <c r="G408" s="15">
        <v>43973</v>
      </c>
      <c r="H408" s="15">
        <v>44005</v>
      </c>
      <c r="I408" s="15">
        <v>44029</v>
      </c>
      <c r="J408" s="15">
        <v>44067</v>
      </c>
      <c r="K408" s="15">
        <v>44092</v>
      </c>
      <c r="L408" s="15">
        <v>44123</v>
      </c>
      <c r="M408" s="15">
        <v>44158</v>
      </c>
      <c r="N408" s="15">
        <v>44187</v>
      </c>
      <c r="O408" s="15">
        <v>44221</v>
      </c>
    </row>
    <row r="409" spans="1:15" x14ac:dyDescent="0.25">
      <c r="A409" s="98">
        <v>1</v>
      </c>
      <c r="D409" s="15">
        <v>43885</v>
      </c>
      <c r="E409" s="15">
        <v>43914</v>
      </c>
      <c r="F409" s="15">
        <v>43948</v>
      </c>
      <c r="G409" s="15">
        <v>43977</v>
      </c>
      <c r="H409" s="15">
        <v>44006</v>
      </c>
      <c r="I409" s="15">
        <v>44033</v>
      </c>
      <c r="J409" s="15">
        <v>44068</v>
      </c>
      <c r="K409" s="15">
        <v>44095</v>
      </c>
      <c r="L409" s="15">
        <v>44124</v>
      </c>
      <c r="M409" s="15">
        <v>44159</v>
      </c>
      <c r="N409" s="15">
        <v>44188</v>
      </c>
      <c r="O409" s="15">
        <v>44222</v>
      </c>
    </row>
    <row r="412" spans="1:15" x14ac:dyDescent="0.25">
      <c r="A412" s="336" t="s">
        <v>352</v>
      </c>
      <c r="B412" s="337"/>
      <c r="C412" s="337"/>
      <c r="D412" s="337"/>
      <c r="E412" s="337"/>
      <c r="F412" s="337"/>
      <c r="G412" s="337"/>
      <c r="H412" s="337"/>
    </row>
    <row r="414" spans="1:15" ht="32.25" customHeight="1" x14ac:dyDescent="0.25">
      <c r="A414" s="347" t="s">
        <v>353</v>
      </c>
      <c r="B414" s="333"/>
      <c r="C414" s="333"/>
      <c r="D414" s="333"/>
      <c r="E414" s="333"/>
      <c r="F414" s="333"/>
      <c r="G414" s="333"/>
      <c r="H414" s="333"/>
    </row>
    <row r="416" spans="1:15" x14ac:dyDescent="0.25">
      <c r="A416" s="177" t="s">
        <v>351</v>
      </c>
      <c r="B416" s="178"/>
      <c r="C416" s="178"/>
      <c r="D416" s="177" t="s">
        <v>18</v>
      </c>
    </row>
    <row r="417" spans="1:5" x14ac:dyDescent="0.25">
      <c r="A417" s="176">
        <v>43466</v>
      </c>
      <c r="D417" s="15">
        <v>43875</v>
      </c>
    </row>
    <row r="418" spans="1:5" x14ac:dyDescent="0.25">
      <c r="A418" s="176">
        <v>43497</v>
      </c>
      <c r="D418" s="15">
        <v>43903</v>
      </c>
    </row>
    <row r="419" spans="1:5" x14ac:dyDescent="0.25">
      <c r="A419" s="176">
        <v>43525</v>
      </c>
      <c r="D419" s="15">
        <v>43938</v>
      </c>
    </row>
    <row r="420" spans="1:5" x14ac:dyDescent="0.25">
      <c r="A420" s="176">
        <v>43556</v>
      </c>
      <c r="D420" s="15">
        <v>43966</v>
      </c>
    </row>
    <row r="421" spans="1:5" x14ac:dyDescent="0.25">
      <c r="A421" s="176">
        <v>43586</v>
      </c>
      <c r="D421" s="15">
        <v>44001</v>
      </c>
    </row>
    <row r="422" spans="1:5" x14ac:dyDescent="0.25">
      <c r="A422" s="176">
        <v>43617</v>
      </c>
      <c r="D422" s="15">
        <v>44029</v>
      </c>
    </row>
    <row r="423" spans="1:5" x14ac:dyDescent="0.25">
      <c r="A423" s="176">
        <v>43647</v>
      </c>
      <c r="D423" s="15">
        <v>44057</v>
      </c>
    </row>
    <row r="424" spans="1:5" x14ac:dyDescent="0.25">
      <c r="A424" s="176">
        <v>43678</v>
      </c>
      <c r="D424" s="15">
        <v>44092</v>
      </c>
    </row>
    <row r="425" spans="1:5" x14ac:dyDescent="0.25">
      <c r="A425" s="176">
        <v>43709</v>
      </c>
      <c r="D425" s="15">
        <v>44120</v>
      </c>
    </row>
    <row r="426" spans="1:5" x14ac:dyDescent="0.25">
      <c r="A426" s="176">
        <v>43739</v>
      </c>
      <c r="D426" s="15">
        <v>44148</v>
      </c>
    </row>
    <row r="427" spans="1:5" x14ac:dyDescent="0.25">
      <c r="A427" s="176">
        <v>43770</v>
      </c>
      <c r="D427" s="15">
        <v>44183</v>
      </c>
    </row>
    <row r="428" spans="1:5" x14ac:dyDescent="0.25">
      <c r="A428" s="176">
        <v>43800</v>
      </c>
      <c r="D428" s="15">
        <v>44211</v>
      </c>
    </row>
    <row r="429" spans="1:5" ht="67.5" customHeight="1" x14ac:dyDescent="0.25">
      <c r="A429" s="179" t="s">
        <v>354</v>
      </c>
    </row>
    <row r="430" spans="1:5" ht="36" x14ac:dyDescent="0.25">
      <c r="A430" s="4" t="s">
        <v>19</v>
      </c>
      <c r="B430" s="4"/>
      <c r="C430" s="4"/>
      <c r="D430" s="4" t="s">
        <v>18</v>
      </c>
    </row>
    <row r="431" spans="1:5" x14ac:dyDescent="0.25">
      <c r="A431">
        <v>1</v>
      </c>
      <c r="D431" s="175">
        <v>43594</v>
      </c>
      <c r="E431" t="s">
        <v>601</v>
      </c>
    </row>
    <row r="432" spans="1:5" x14ac:dyDescent="0.25">
      <c r="A432">
        <v>2</v>
      </c>
      <c r="D432" s="175">
        <v>43595</v>
      </c>
      <c r="E432" s="225" t="s">
        <v>601</v>
      </c>
    </row>
    <row r="433" spans="1:8" x14ac:dyDescent="0.25">
      <c r="A433">
        <v>3</v>
      </c>
      <c r="D433" s="175">
        <v>43598</v>
      </c>
      <c r="E433" s="225" t="s">
        <v>601</v>
      </c>
    </row>
    <row r="434" spans="1:8" x14ac:dyDescent="0.25">
      <c r="A434">
        <v>4</v>
      </c>
      <c r="D434" s="175">
        <v>43599</v>
      </c>
      <c r="E434" s="225" t="s">
        <v>601</v>
      </c>
    </row>
    <row r="435" spans="1:8" x14ac:dyDescent="0.25">
      <c r="A435">
        <v>5</v>
      </c>
      <c r="D435" s="175">
        <v>43600</v>
      </c>
      <c r="E435" s="225" t="s">
        <v>601</v>
      </c>
    </row>
    <row r="436" spans="1:8" x14ac:dyDescent="0.25">
      <c r="A436">
        <v>6</v>
      </c>
      <c r="D436" s="175">
        <v>43601</v>
      </c>
      <c r="E436" s="225" t="s">
        <v>601</v>
      </c>
    </row>
    <row r="437" spans="1:8" x14ac:dyDescent="0.25">
      <c r="A437">
        <v>7</v>
      </c>
      <c r="D437" s="175">
        <v>43602</v>
      </c>
      <c r="E437" s="225" t="s">
        <v>601</v>
      </c>
    </row>
    <row r="438" spans="1:8" x14ac:dyDescent="0.25">
      <c r="A438">
        <v>8</v>
      </c>
      <c r="D438" s="175">
        <v>43605</v>
      </c>
      <c r="E438" s="225" t="s">
        <v>601</v>
      </c>
    </row>
    <row r="439" spans="1:8" x14ac:dyDescent="0.25">
      <c r="A439">
        <v>9</v>
      </c>
      <c r="D439" s="175">
        <v>43606</v>
      </c>
      <c r="E439" s="225" t="s">
        <v>601</v>
      </c>
    </row>
    <row r="440" spans="1:8" x14ac:dyDescent="0.25">
      <c r="A440">
        <v>0</v>
      </c>
      <c r="D440" s="175">
        <v>43607</v>
      </c>
      <c r="E440" s="225" t="s">
        <v>601</v>
      </c>
    </row>
    <row r="443" spans="1:8" ht="27.75" customHeight="1" x14ac:dyDescent="0.25">
      <c r="A443" s="223" t="s">
        <v>355</v>
      </c>
    </row>
    <row r="444" spans="1:8" ht="118.5" customHeight="1" x14ac:dyDescent="0.25">
      <c r="A444" s="333" t="s">
        <v>743</v>
      </c>
      <c r="B444" s="333"/>
      <c r="C444" s="333"/>
      <c r="D444" s="333"/>
      <c r="E444" s="333"/>
      <c r="F444" s="333"/>
      <c r="G444" s="333"/>
      <c r="H444" s="333"/>
    </row>
    <row r="447" spans="1:8" ht="77.25" customHeight="1" x14ac:dyDescent="0.25">
      <c r="A447" s="351" t="s">
        <v>746</v>
      </c>
      <c r="B447" s="351"/>
      <c r="C447" s="351"/>
      <c r="D447" s="351"/>
      <c r="E447" s="351"/>
      <c r="F447" s="351"/>
      <c r="G447" s="351"/>
      <c r="H447" s="351"/>
    </row>
    <row r="448" spans="1:8" x14ac:dyDescent="0.25">
      <c r="A448" s="333" t="s">
        <v>745</v>
      </c>
      <c r="B448" s="333"/>
      <c r="C448" s="333"/>
      <c r="D448" s="333"/>
      <c r="E448" s="333"/>
      <c r="F448" s="333"/>
      <c r="G448" s="333"/>
      <c r="H448" s="333"/>
    </row>
    <row r="450" spans="1:7" x14ac:dyDescent="0.25">
      <c r="A450" s="340" t="s">
        <v>747</v>
      </c>
      <c r="B450" s="340"/>
      <c r="C450" s="340"/>
      <c r="D450" s="233" t="s">
        <v>18</v>
      </c>
    </row>
    <row r="451" spans="1:7" x14ac:dyDescent="0.25">
      <c r="A451" s="97">
        <v>0</v>
      </c>
      <c r="B451" s="234"/>
      <c r="C451" s="97"/>
      <c r="D451" s="15">
        <v>44126</v>
      </c>
    </row>
    <row r="452" spans="1:7" x14ac:dyDescent="0.25">
      <c r="A452" s="97">
        <v>9</v>
      </c>
      <c r="B452" s="234"/>
      <c r="C452" s="234"/>
      <c r="D452" s="15">
        <v>44126</v>
      </c>
    </row>
    <row r="453" spans="1:7" x14ac:dyDescent="0.25">
      <c r="A453" s="234">
        <v>8</v>
      </c>
      <c r="B453" s="234"/>
      <c r="C453" s="234"/>
      <c r="D453" s="15">
        <v>44127</v>
      </c>
    </row>
    <row r="454" spans="1:7" x14ac:dyDescent="0.25">
      <c r="A454" s="234">
        <v>7</v>
      </c>
      <c r="B454" s="234"/>
      <c r="C454" s="234"/>
      <c r="D454" s="15">
        <v>44127</v>
      </c>
    </row>
    <row r="455" spans="1:7" x14ac:dyDescent="0.25">
      <c r="A455" s="234">
        <v>6</v>
      </c>
      <c r="B455" s="234"/>
      <c r="C455" s="234"/>
      <c r="D455" s="15">
        <v>44130</v>
      </c>
    </row>
    <row r="456" spans="1:7" x14ac:dyDescent="0.25">
      <c r="A456" s="234">
        <v>5</v>
      </c>
      <c r="B456" s="234"/>
      <c r="C456" s="234"/>
      <c r="D456" s="15">
        <v>44130</v>
      </c>
    </row>
    <row r="457" spans="1:7" x14ac:dyDescent="0.25">
      <c r="A457" s="234">
        <v>4</v>
      </c>
      <c r="B457" s="234"/>
      <c r="C457" s="234"/>
      <c r="D457" s="15">
        <v>44131</v>
      </c>
    </row>
    <row r="458" spans="1:7" x14ac:dyDescent="0.25">
      <c r="A458" s="234">
        <v>3</v>
      </c>
      <c r="B458" s="234"/>
      <c r="C458" s="234"/>
      <c r="D458" s="15">
        <v>44131</v>
      </c>
    </row>
    <row r="459" spans="1:7" x14ac:dyDescent="0.25">
      <c r="A459" s="234">
        <v>2</v>
      </c>
      <c r="B459" s="234"/>
      <c r="C459" s="234"/>
      <c r="D459" s="15">
        <v>44132</v>
      </c>
    </row>
    <row r="460" spans="1:7" x14ac:dyDescent="0.25">
      <c r="A460" s="234">
        <v>1</v>
      </c>
      <c r="B460" s="234"/>
      <c r="C460" s="234"/>
      <c r="D460" s="15">
        <v>44132</v>
      </c>
    </row>
    <row r="462" spans="1:7" ht="91.5" customHeight="1" x14ac:dyDescent="0.25">
      <c r="A462" s="352" t="s">
        <v>752</v>
      </c>
      <c r="B462" s="352"/>
      <c r="C462" s="352"/>
      <c r="D462" s="352"/>
      <c r="E462" s="352"/>
      <c r="F462" s="352"/>
      <c r="G462" s="352"/>
    </row>
    <row r="463" spans="1:7" x14ac:dyDescent="0.25">
      <c r="A463" s="340" t="s">
        <v>747</v>
      </c>
      <c r="B463" s="340"/>
      <c r="C463" s="340"/>
      <c r="D463" s="233" t="s">
        <v>18</v>
      </c>
    </row>
    <row r="464" spans="1:7" x14ac:dyDescent="0.25">
      <c r="A464" s="234">
        <v>0</v>
      </c>
      <c r="B464" s="234"/>
      <c r="C464" s="97"/>
      <c r="D464" s="15">
        <v>43885</v>
      </c>
    </row>
    <row r="465" spans="1:4" x14ac:dyDescent="0.25">
      <c r="A465" s="234">
        <v>9</v>
      </c>
      <c r="B465" s="234"/>
      <c r="C465" s="234"/>
      <c r="D465" s="15">
        <v>43885</v>
      </c>
    </row>
    <row r="466" spans="1:4" x14ac:dyDescent="0.25">
      <c r="A466" s="234">
        <v>8</v>
      </c>
      <c r="B466" s="234"/>
      <c r="C466" s="234"/>
      <c r="D466" s="15">
        <v>43886</v>
      </c>
    </row>
    <row r="467" spans="1:4" x14ac:dyDescent="0.25">
      <c r="A467" s="234">
        <v>7</v>
      </c>
      <c r="B467" s="234"/>
      <c r="C467" s="234"/>
      <c r="D467" s="15">
        <v>43886</v>
      </c>
    </row>
    <row r="468" spans="1:4" x14ac:dyDescent="0.25">
      <c r="A468" s="234">
        <v>6</v>
      </c>
      <c r="B468" s="234"/>
      <c r="C468" s="234"/>
      <c r="D468" s="15">
        <v>43887</v>
      </c>
    </row>
    <row r="469" spans="1:4" x14ac:dyDescent="0.25">
      <c r="A469" s="234">
        <v>5</v>
      </c>
      <c r="B469" s="234"/>
      <c r="C469" s="234"/>
      <c r="D469" s="15">
        <v>43887</v>
      </c>
    </row>
    <row r="470" spans="1:4" x14ac:dyDescent="0.25">
      <c r="A470" s="234">
        <v>4</v>
      </c>
      <c r="B470" s="234"/>
      <c r="C470" s="234"/>
      <c r="D470" s="15">
        <v>43888</v>
      </c>
    </row>
    <row r="471" spans="1:4" x14ac:dyDescent="0.25">
      <c r="A471" s="234">
        <v>3</v>
      </c>
      <c r="B471" s="234"/>
      <c r="C471" s="234"/>
      <c r="D471" s="15">
        <v>43888</v>
      </c>
    </row>
    <row r="472" spans="1:4" x14ac:dyDescent="0.25">
      <c r="A472" s="234">
        <v>2</v>
      </c>
      <c r="B472" s="234"/>
      <c r="C472" s="234"/>
      <c r="D472" s="15">
        <v>43889</v>
      </c>
    </row>
    <row r="473" spans="1:4" x14ac:dyDescent="0.25">
      <c r="A473" s="234">
        <v>1</v>
      </c>
      <c r="B473" s="234"/>
      <c r="C473" s="234"/>
      <c r="D473" s="15">
        <v>43889</v>
      </c>
    </row>
  </sheetData>
  <sortState ref="A69:D87">
    <sortCondition ref="A106"/>
  </sortState>
  <mergeCells count="30">
    <mergeCell ref="A448:H448"/>
    <mergeCell ref="A447:H447"/>
    <mergeCell ref="A450:C450"/>
    <mergeCell ref="A463:C463"/>
    <mergeCell ref="A462:G462"/>
    <mergeCell ref="A398:O398"/>
    <mergeCell ref="A414:H414"/>
    <mergeCell ref="A233:C233"/>
    <mergeCell ref="A255:C255"/>
    <mergeCell ref="A356:H356"/>
    <mergeCell ref="A327:H329"/>
    <mergeCell ref="A370:H370"/>
    <mergeCell ref="A308:H308"/>
    <mergeCell ref="A344:H344"/>
    <mergeCell ref="A444:H444"/>
    <mergeCell ref="A1:H1"/>
    <mergeCell ref="A309:H312"/>
    <mergeCell ref="A412:H412"/>
    <mergeCell ref="A17:H20"/>
    <mergeCell ref="A61:H64"/>
    <mergeCell ref="A103:H106"/>
    <mergeCell ref="A109:C109"/>
    <mergeCell ref="A2:H2"/>
    <mergeCell ref="A90:C90"/>
    <mergeCell ref="A67:C67"/>
    <mergeCell ref="A161:I163"/>
    <mergeCell ref="A179:C179"/>
    <mergeCell ref="A191:I191"/>
    <mergeCell ref="A219:I219"/>
    <mergeCell ref="A383:H384"/>
  </mergeCells>
  <hyperlinks>
    <hyperlink ref="A3" location="'DR 2442 Plazos'!A17" display="Artículo 1.6.1.13.2.11."/>
    <hyperlink ref="A4" location="'DR 2442 Plazos'!A61" display="Artículo 1.6.1.13.2.12."/>
    <hyperlink ref="A5" location="'DR 2442 Plazos'!A103" display="Artículo 1.6.1.13.2.15."/>
    <hyperlink ref="A9" location="'DR 2105'!A307" display="Artículo 1.6.1.13.2.26. "/>
    <hyperlink ref="A10" location="'DR 2105'!A351" display="Artículo 1.6.1.13.2.28."/>
    <hyperlink ref="A13" location="'DR 2105'!A393" display="Artículo 1.6.1.13.2.35."/>
    <hyperlink ref="A7" location="'DR 2105'!A191" display="Artículo 1.6.1.13.2.23."/>
    <hyperlink ref="A8" location="'DR 2105'!A219" display="Artículo 1.6.1.13.2.24."/>
    <hyperlink ref="A11" location="'DR 2105'!A365" display="Artículo 1.6.1.13.2.32."/>
    <hyperlink ref="A12" location="'DR 2105'!A378" display="Artículo 1.6.1.13.2.34."/>
    <hyperlink ref="A15" location="'DR 2442 Plazos'!A438" display="Artículo 1.6.1.13.2.43. "/>
    <hyperlink ref="A6" location="'DR 2442 Plazos'!A163" display="Artículo 1.6.1.3.2.22."/>
  </hyperlinks>
  <pageMargins left="0.7" right="0.7" top="0.75" bottom="0.75" header="0.3" footer="0.3"/>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16"/>
  </sheetPr>
  <dimension ref="A1:K26"/>
  <sheetViews>
    <sheetView showGridLines="0" workbookViewId="0">
      <selection activeCell="A7" sqref="A7:C7"/>
    </sheetView>
  </sheetViews>
  <sheetFormatPr baseColWidth="10" defaultColWidth="0" defaultRowHeight="12.75" zeroHeight="1" x14ac:dyDescent="0.2"/>
  <cols>
    <col min="1" max="1" width="38.85546875" style="192" customWidth="1"/>
    <col min="2" max="2" width="21" style="192" customWidth="1"/>
    <col min="3" max="3" width="19.85546875" style="192" customWidth="1"/>
    <col min="4" max="4" width="2" style="192" customWidth="1"/>
    <col min="5" max="5" width="42" style="192" customWidth="1"/>
    <col min="6" max="6" width="19.140625" style="192" customWidth="1"/>
    <col min="7" max="7" width="23.140625" style="192" customWidth="1"/>
    <col min="8" max="8" width="3" style="192" customWidth="1"/>
    <col min="9" max="11" width="0" style="192" hidden="1" customWidth="1"/>
    <col min="12" max="16384" width="9.140625" style="192" hidden="1"/>
  </cols>
  <sheetData>
    <row r="1" spans="1:7" ht="30.75" customHeight="1" x14ac:dyDescent="0.2">
      <c r="A1" s="353" t="s">
        <v>589</v>
      </c>
      <c r="B1" s="353"/>
      <c r="C1" s="353"/>
      <c r="D1" s="353"/>
      <c r="E1" s="353"/>
      <c r="F1" s="353"/>
      <c r="G1" s="353"/>
    </row>
    <row r="2" spans="1:7" ht="20.25" thickBot="1" x14ac:dyDescent="0.3">
      <c r="A2" s="217" t="s">
        <v>400</v>
      </c>
      <c r="B2" s="216"/>
      <c r="C2" s="216"/>
      <c r="D2" s="215"/>
      <c r="E2" s="216"/>
      <c r="F2" s="216"/>
      <c r="G2" s="215"/>
    </row>
    <row r="3" spans="1:7" ht="13.5" thickTop="1" x14ac:dyDescent="0.2">
      <c r="A3" s="214"/>
      <c r="B3" s="214"/>
      <c r="C3" s="214"/>
      <c r="E3" s="214"/>
      <c r="F3" s="214"/>
      <c r="G3" s="214"/>
    </row>
    <row r="4" spans="1:7" ht="13.5" thickBot="1" x14ac:dyDescent="0.25">
      <c r="A4" s="213"/>
      <c r="B4" s="212" t="s">
        <v>399</v>
      </c>
      <c r="C4" s="212" t="s">
        <v>398</v>
      </c>
      <c r="F4" s="212" t="s">
        <v>399</v>
      </c>
      <c r="G4" s="212" t="s">
        <v>398</v>
      </c>
    </row>
    <row r="5" spans="1:7" x14ac:dyDescent="0.2">
      <c r="A5" s="202" t="s">
        <v>397</v>
      </c>
      <c r="B5" s="201"/>
      <c r="C5" s="200"/>
      <c r="E5" s="202" t="s">
        <v>403</v>
      </c>
      <c r="F5" s="201"/>
      <c r="G5" s="200"/>
    </row>
    <row r="6" spans="1:7" x14ac:dyDescent="0.2">
      <c r="A6" s="199" t="s">
        <v>605</v>
      </c>
      <c r="B6" s="211" t="s">
        <v>600</v>
      </c>
      <c r="C6" s="196">
        <v>34270</v>
      </c>
      <c r="E6" s="198" t="s">
        <v>606</v>
      </c>
      <c r="F6" s="356" t="s">
        <v>394</v>
      </c>
      <c r="G6" s="196">
        <f>+C15*5000</f>
        <v>3906210000</v>
      </c>
    </row>
    <row r="7" spans="1:7" x14ac:dyDescent="0.2">
      <c r="A7" s="199" t="s">
        <v>396</v>
      </c>
      <c r="B7" s="193" t="s">
        <v>395</v>
      </c>
      <c r="C7" s="196">
        <v>33156</v>
      </c>
      <c r="E7" s="198" t="s">
        <v>607</v>
      </c>
      <c r="F7" s="357"/>
      <c r="G7" s="196">
        <f>+C15*3000</f>
        <v>2343726000</v>
      </c>
    </row>
    <row r="8" spans="1:7" x14ac:dyDescent="0.2">
      <c r="A8" s="199" t="s">
        <v>393</v>
      </c>
      <c r="B8" s="193" t="s">
        <v>392</v>
      </c>
      <c r="C8" s="196">
        <v>343000</v>
      </c>
      <c r="E8" s="195" t="s">
        <v>391</v>
      </c>
      <c r="F8" s="194" t="s">
        <v>390</v>
      </c>
      <c r="G8" s="196">
        <f>+C7*100000</f>
        <v>3315600000</v>
      </c>
    </row>
    <row r="9" spans="1:7" ht="15.75" thickBot="1" x14ac:dyDescent="0.3">
      <c r="A9" s="199" t="s">
        <v>389</v>
      </c>
      <c r="B9" s="208" t="s">
        <v>388</v>
      </c>
      <c r="C9" s="196">
        <f>50*C6</f>
        <v>1713500</v>
      </c>
      <c r="E9" s="190"/>
      <c r="F9" s="190"/>
      <c r="G9" s="190"/>
    </row>
    <row r="10" spans="1:7" x14ac:dyDescent="0.2">
      <c r="A10" s="199" t="s">
        <v>599</v>
      </c>
      <c r="B10" s="208" t="s">
        <v>387</v>
      </c>
      <c r="C10" s="210">
        <v>1.4999999999999999E-2</v>
      </c>
      <c r="E10" s="202" t="s">
        <v>386</v>
      </c>
      <c r="F10" s="201"/>
      <c r="G10" s="200"/>
    </row>
    <row r="11" spans="1:7" x14ac:dyDescent="0.2">
      <c r="A11" s="199" t="s">
        <v>385</v>
      </c>
      <c r="B11" s="208" t="s">
        <v>590</v>
      </c>
      <c r="C11" s="207">
        <v>4.07E-2</v>
      </c>
      <c r="E11" s="198" t="s">
        <v>384</v>
      </c>
      <c r="F11" s="193" t="s">
        <v>382</v>
      </c>
      <c r="G11" s="209">
        <f>ROUND(C6*27,-3)</f>
        <v>925000</v>
      </c>
    </row>
    <row r="12" spans="1:7" x14ac:dyDescent="0.2">
      <c r="A12" s="199" t="s">
        <v>591</v>
      </c>
      <c r="B12" s="208"/>
      <c r="C12" s="207">
        <v>3.1800000000000002E-2</v>
      </c>
      <c r="E12" s="198" t="s">
        <v>383</v>
      </c>
      <c r="F12" s="193" t="s">
        <v>382</v>
      </c>
      <c r="G12" s="206">
        <f>ROUND(C6*4,-3)</f>
        <v>137000</v>
      </c>
    </row>
    <row r="13" spans="1:7" x14ac:dyDescent="0.2">
      <c r="A13" s="199" t="s">
        <v>592</v>
      </c>
      <c r="B13" s="193"/>
      <c r="C13" s="196">
        <v>828116</v>
      </c>
      <c r="E13" s="195" t="s">
        <v>380</v>
      </c>
      <c r="F13" s="193" t="s">
        <v>379</v>
      </c>
      <c r="G13" s="205">
        <v>0.15</v>
      </c>
    </row>
    <row r="14" spans="1:7" ht="13.5" thickBot="1" x14ac:dyDescent="0.25">
      <c r="A14" s="199" t="s">
        <v>593</v>
      </c>
      <c r="B14" s="193"/>
      <c r="C14" s="196">
        <v>97032</v>
      </c>
    </row>
    <row r="15" spans="1:7" x14ac:dyDescent="0.2">
      <c r="A15" s="199" t="s">
        <v>381</v>
      </c>
      <c r="B15" s="193"/>
      <c r="C15" s="196">
        <v>781242</v>
      </c>
      <c r="E15" s="204" t="s">
        <v>377</v>
      </c>
      <c r="F15" s="203" t="s">
        <v>598</v>
      </c>
      <c r="G15" s="200"/>
    </row>
    <row r="16" spans="1:7" x14ac:dyDescent="0.2">
      <c r="A16" s="199" t="s">
        <v>378</v>
      </c>
      <c r="B16" s="193"/>
      <c r="C16" s="196">
        <v>88211</v>
      </c>
      <c r="E16" s="199" t="s">
        <v>594</v>
      </c>
      <c r="F16" s="193" t="s">
        <v>595</v>
      </c>
      <c r="G16" s="228">
        <f>+C7*30000</f>
        <v>994680000</v>
      </c>
    </row>
    <row r="17" spans="1:11" x14ac:dyDescent="0.2">
      <c r="A17" s="195" t="s">
        <v>376</v>
      </c>
      <c r="B17" s="193"/>
      <c r="C17" s="196">
        <f>+C13*10*1.3</f>
        <v>10765508</v>
      </c>
      <c r="E17" s="195" t="s">
        <v>596</v>
      </c>
      <c r="F17" s="227" t="s">
        <v>597</v>
      </c>
      <c r="G17" s="231">
        <f>+C7*1500</f>
        <v>49734000</v>
      </c>
    </row>
    <row r="18" spans="1:11" ht="13.5" thickBot="1" x14ac:dyDescent="0.25">
      <c r="F18" s="226"/>
    </row>
    <row r="19" spans="1:11" ht="24.75" customHeight="1" x14ac:dyDescent="0.2">
      <c r="A19" s="202" t="s">
        <v>375</v>
      </c>
      <c r="B19" s="201"/>
      <c r="C19" s="200"/>
      <c r="E19" s="354" t="s">
        <v>374</v>
      </c>
      <c r="F19" s="354"/>
      <c r="G19" s="355"/>
    </row>
    <row r="20" spans="1:11" x14ac:dyDescent="0.2">
      <c r="A20" s="199" t="s">
        <v>611</v>
      </c>
      <c r="B20" s="193" t="s">
        <v>373</v>
      </c>
      <c r="C20" s="196">
        <f>ROUND(C7*92000,-3)</f>
        <v>3050352000</v>
      </c>
      <c r="E20" s="198" t="s">
        <v>372</v>
      </c>
      <c r="F20" s="197">
        <v>30000</v>
      </c>
      <c r="G20" s="196">
        <f>+F20*C7</f>
        <v>994680000</v>
      </c>
    </row>
    <row r="21" spans="1:11" x14ac:dyDescent="0.2">
      <c r="A21" s="195" t="s">
        <v>612</v>
      </c>
      <c r="B21" s="193"/>
      <c r="C21" s="193"/>
      <c r="E21" s="195" t="s">
        <v>371</v>
      </c>
      <c r="F21" s="194" t="s">
        <v>370</v>
      </c>
      <c r="G21" s="193"/>
    </row>
    <row r="22" spans="1:11" ht="13.5" thickBot="1" x14ac:dyDescent="0.25"/>
    <row r="23" spans="1:11" x14ac:dyDescent="0.2">
      <c r="A23" s="202" t="s">
        <v>608</v>
      </c>
      <c r="B23" s="201"/>
      <c r="C23" s="200"/>
      <c r="G23" s="219" t="s">
        <v>401</v>
      </c>
      <c r="H23" s="218"/>
      <c r="I23" s="218"/>
      <c r="J23" s="218"/>
      <c r="K23" s="218"/>
    </row>
    <row r="24" spans="1:11" x14ac:dyDescent="0.2">
      <c r="A24" s="199" t="s">
        <v>609</v>
      </c>
      <c r="B24" s="193" t="s">
        <v>610</v>
      </c>
      <c r="C24" s="196">
        <f>+C7*80000</f>
        <v>2652480000</v>
      </c>
      <c r="G24" s="220" t="s">
        <v>402</v>
      </c>
      <c r="H24" s="218"/>
      <c r="I24" s="218"/>
      <c r="J24" s="218"/>
      <c r="K24" s="218"/>
    </row>
    <row r="25" spans="1:11" x14ac:dyDescent="0.2">
      <c r="A25" s="195"/>
      <c r="B25" s="193"/>
      <c r="C25" s="193"/>
      <c r="G25" s="219" t="s">
        <v>204</v>
      </c>
      <c r="H25" s="218"/>
      <c r="I25" s="218"/>
      <c r="J25" s="218"/>
      <c r="K25" s="218"/>
    </row>
    <row r="26" spans="1:11" x14ac:dyDescent="0.2">
      <c r="E26" s="218"/>
      <c r="F26" s="218"/>
      <c r="G26" s="218"/>
      <c r="H26" s="218"/>
      <c r="I26" s="218"/>
      <c r="J26" s="218"/>
      <c r="K26" s="218"/>
    </row>
  </sheetData>
  <sheetProtection sheet="1" objects="1" scenarios="1"/>
  <mergeCells count="3">
    <mergeCell ref="A1:G1"/>
    <mergeCell ref="E19:G19"/>
    <mergeCell ref="F6:F7"/>
  </mergeCells>
  <printOptions horizontalCentered="1"/>
  <pageMargins left="0.75" right="0.75" top="1" bottom="1" header="0.5" footer="0.5"/>
  <pageSetup paperSize="9"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A1:L195"/>
  <sheetViews>
    <sheetView showGridLines="0" zoomScale="160" zoomScaleNormal="160" workbookViewId="0">
      <selection activeCell="E6" sqref="E6"/>
    </sheetView>
  </sheetViews>
  <sheetFormatPr baseColWidth="10" defaultColWidth="0" defaultRowHeight="0" customHeight="1" zeroHeight="1" x14ac:dyDescent="0.25"/>
  <cols>
    <col min="1" max="1" width="11.42578125" style="232" customWidth="1"/>
    <col min="2" max="2" width="41" style="232" customWidth="1"/>
    <col min="3" max="3" width="21.140625" style="232" customWidth="1"/>
    <col min="4" max="4" width="15.5703125" style="232" customWidth="1"/>
    <col min="5" max="5" width="3.140625" style="232" customWidth="1"/>
    <col min="6" max="6" width="21" style="232" bestFit="1" customWidth="1"/>
    <col min="7" max="7" width="1.7109375" style="232" customWidth="1"/>
    <col min="8" max="12" width="0" style="232" hidden="1" customWidth="1"/>
    <col min="13" max="16384" width="11.42578125" style="232" hidden="1"/>
  </cols>
  <sheetData>
    <row r="1" spans="1:6" ht="15.75" x14ac:dyDescent="0.25">
      <c r="A1" s="358" t="s">
        <v>404</v>
      </c>
      <c r="B1" s="358"/>
      <c r="C1" s="358"/>
      <c r="D1" s="358"/>
      <c r="E1" s="358"/>
      <c r="F1" s="358"/>
    </row>
    <row r="2" spans="1:6" ht="6" customHeight="1" thickBot="1" x14ac:dyDescent="0.3">
      <c r="A2" s="31"/>
      <c r="B2" s="31"/>
      <c r="C2" s="31"/>
      <c r="D2" s="31"/>
      <c r="E2" s="31"/>
      <c r="F2" s="31"/>
    </row>
    <row r="3" spans="1:6" ht="15.75" thickBot="1" x14ac:dyDescent="0.3">
      <c r="A3" s="32" t="s">
        <v>51</v>
      </c>
      <c r="B3" s="31"/>
      <c r="C3" s="359" t="str">
        <f>+Programador!D4</f>
        <v>EMPRESA XYZ S.A.S.</v>
      </c>
      <c r="D3" s="360"/>
      <c r="E3" s="360"/>
      <c r="F3" s="361"/>
    </row>
    <row r="4" spans="1:6" ht="6" customHeight="1" thickBot="1" x14ac:dyDescent="0.3">
      <c r="A4" s="32"/>
      <c r="B4" s="31"/>
      <c r="C4" s="31"/>
      <c r="D4" s="31"/>
      <c r="E4" s="31"/>
      <c r="F4" s="33">
        <f>MOD((VALUE(MID(TEXT(C5,"000000000000000"),15,1))*3+VALUE(MID(TEXT(C5,"000000000000000"),14,1))*7+VALUE(MID(TEXT(C5,"000000000000000"),13,1))*13+VALUE(MID(TEXT(C5,"000000000000000"),12,1))*17+VALUE(MID(TEXT(C5,"000000000000000"),11,1))*19+VALUE(MID(TEXT(C5,"000000000000000"),10,1))*23+VALUE(MID(TEXT(C5,"000000000000000"),9,1))*29+VALUE(MID(TEXT(C5,"000000000000000"),8,1))*37+VALUE(MID(TEXT(C5,"000000000000000"),7,1))*41+VALUE(MID(TEXT(C5,"000000000000000"),6,1))*43+VALUE(MID(TEXT(C5,"000000000000000"),5,1))*47+VALUE(MID(TEXT(C5,"000000000000000"),4,1))*53+VALUE(MID(TEXT(C5,"000000000000000"),3,1))*59+VALUE(MID(TEXT(C5,"000000000000000"),2,1))*67+VALUE(MID(TEXT(C5,"000000000000000"),1,1))*71),11)</f>
        <v>5</v>
      </c>
    </row>
    <row r="5" spans="1:6" ht="15.75" thickBot="1" x14ac:dyDescent="0.3">
      <c r="A5" s="32" t="s">
        <v>50</v>
      </c>
      <c r="B5" s="31"/>
      <c r="C5" s="8">
        <f>+Programador!D6</f>
        <v>901000001</v>
      </c>
      <c r="D5" s="39" t="s">
        <v>31</v>
      </c>
      <c r="E5" s="23">
        <f>+Programador!G6</f>
        <v>6</v>
      </c>
      <c r="F5" s="33"/>
    </row>
    <row r="6" spans="1:6" ht="6" customHeight="1" x14ac:dyDescent="0.25">
      <c r="A6" s="31"/>
      <c r="B6" s="31"/>
      <c r="C6" s="31"/>
      <c r="D6" s="31"/>
      <c r="E6" s="31"/>
      <c r="F6" s="31"/>
    </row>
    <row r="7" spans="1:6" ht="6" customHeight="1" x14ac:dyDescent="0.25"/>
    <row r="8" spans="1:6" ht="15" x14ac:dyDescent="0.25">
      <c r="A8" s="263"/>
      <c r="B8" s="267" t="s">
        <v>1</v>
      </c>
      <c r="C8" s="266"/>
      <c r="D8" s="266"/>
      <c r="E8" s="266"/>
      <c r="F8" s="265" t="s">
        <v>18</v>
      </c>
    </row>
    <row r="9" spans="1:6" ht="15" x14ac:dyDescent="0.25">
      <c r="A9" s="263"/>
      <c r="B9" s="264" t="s">
        <v>706</v>
      </c>
      <c r="C9" s="261"/>
      <c r="D9" s="261"/>
      <c r="E9" s="261"/>
      <c r="F9" s="260">
        <v>43473</v>
      </c>
    </row>
    <row r="10" spans="1:6" ht="15" x14ac:dyDescent="0.25">
      <c r="A10" s="263"/>
      <c r="B10" s="262" t="s">
        <v>705</v>
      </c>
      <c r="C10" s="261" t="s">
        <v>677</v>
      </c>
      <c r="D10" s="261"/>
      <c r="E10" s="261"/>
      <c r="F10" s="260"/>
    </row>
    <row r="11" spans="1:6" ht="15" x14ac:dyDescent="0.25">
      <c r="A11" s="263"/>
      <c r="B11" s="262" t="s">
        <v>704</v>
      </c>
      <c r="C11" s="261" t="s">
        <v>703</v>
      </c>
      <c r="D11" s="261"/>
      <c r="E11" s="261"/>
      <c r="F11" s="260"/>
    </row>
    <row r="12" spans="1:6" ht="15" x14ac:dyDescent="0.25">
      <c r="A12" s="263"/>
      <c r="B12" s="263"/>
      <c r="C12" s="261" t="s">
        <v>702</v>
      </c>
      <c r="D12" s="261"/>
      <c r="E12" s="261"/>
      <c r="F12" s="260"/>
    </row>
    <row r="13" spans="1:6" ht="15" x14ac:dyDescent="0.25">
      <c r="A13" s="263"/>
      <c r="B13" s="262" t="s">
        <v>676</v>
      </c>
      <c r="C13" s="261" t="s">
        <v>675</v>
      </c>
      <c r="D13" s="261"/>
      <c r="E13" s="261"/>
      <c r="F13" s="260"/>
    </row>
    <row r="14" spans="1:6" ht="15" x14ac:dyDescent="0.25">
      <c r="A14" s="263"/>
      <c r="B14" s="262" t="s">
        <v>701</v>
      </c>
      <c r="C14" s="261" t="s">
        <v>700</v>
      </c>
      <c r="D14" s="261"/>
      <c r="E14" s="261"/>
      <c r="F14" s="260" t="s">
        <v>694</v>
      </c>
    </row>
    <row r="15" spans="1:6" ht="15" x14ac:dyDescent="0.25">
      <c r="A15" s="263"/>
      <c r="B15" s="263"/>
      <c r="C15" s="261" t="s">
        <v>699</v>
      </c>
      <c r="D15" s="261"/>
      <c r="E15" s="261"/>
      <c r="F15" s="260" t="s">
        <v>698</v>
      </c>
    </row>
    <row r="16" spans="1:6" ht="15" x14ac:dyDescent="0.25">
      <c r="A16" s="263"/>
      <c r="B16" s="263"/>
      <c r="C16" s="261" t="s">
        <v>697</v>
      </c>
      <c r="D16" s="261"/>
      <c r="E16" s="261"/>
      <c r="F16" s="260" t="s">
        <v>695</v>
      </c>
    </row>
    <row r="17" spans="1:6" ht="15" x14ac:dyDescent="0.25">
      <c r="A17" s="263"/>
      <c r="B17" s="262" t="s">
        <v>674</v>
      </c>
      <c r="C17" s="261" t="s">
        <v>673</v>
      </c>
      <c r="D17" s="261"/>
      <c r="E17" s="261"/>
      <c r="F17" s="260"/>
    </row>
    <row r="18" spans="1:6" ht="15" x14ac:dyDescent="0.25">
      <c r="A18" s="263"/>
      <c r="B18" s="262" t="s">
        <v>672</v>
      </c>
      <c r="C18" s="261" t="s">
        <v>671</v>
      </c>
      <c r="D18" s="261"/>
      <c r="E18" s="261"/>
      <c r="F18" s="260"/>
    </row>
    <row r="19" spans="1:6" ht="15" x14ac:dyDescent="0.25">
      <c r="A19" s="263"/>
      <c r="B19" s="262" t="s">
        <v>670</v>
      </c>
      <c r="C19" s="261" t="s">
        <v>669</v>
      </c>
      <c r="D19" s="261"/>
      <c r="E19" s="261"/>
      <c r="F19" s="260"/>
    </row>
    <row r="20" spans="1:6" ht="15" x14ac:dyDescent="0.25">
      <c r="A20" s="263"/>
      <c r="B20" s="262"/>
      <c r="C20" s="261" t="s">
        <v>696</v>
      </c>
      <c r="D20" s="261"/>
      <c r="E20" s="261"/>
      <c r="F20" s="260" t="s">
        <v>695</v>
      </c>
    </row>
    <row r="21" spans="1:6" ht="15" x14ac:dyDescent="0.25">
      <c r="A21" s="263"/>
      <c r="B21" s="262" t="s">
        <v>668</v>
      </c>
      <c r="C21" s="261" t="s">
        <v>667</v>
      </c>
      <c r="D21" s="261"/>
      <c r="E21" s="261"/>
      <c r="F21" s="260" t="s">
        <v>694</v>
      </c>
    </row>
    <row r="22" spans="1:6" ht="15" x14ac:dyDescent="0.25">
      <c r="A22" s="263"/>
      <c r="B22" s="262" t="s">
        <v>666</v>
      </c>
      <c r="C22" s="261" t="s">
        <v>665</v>
      </c>
      <c r="D22" s="261"/>
      <c r="E22" s="261"/>
      <c r="F22" s="260"/>
    </row>
    <row r="23" spans="1:6" ht="15" x14ac:dyDescent="0.25">
      <c r="A23" s="263"/>
      <c r="B23" s="262" t="s">
        <v>664</v>
      </c>
      <c r="C23" s="261" t="s">
        <v>663</v>
      </c>
      <c r="D23" s="261"/>
      <c r="E23" s="261"/>
      <c r="F23" s="260"/>
    </row>
    <row r="24" spans="1:6" ht="15" x14ac:dyDescent="0.25">
      <c r="A24" s="263"/>
      <c r="B24" s="262" t="s">
        <v>693</v>
      </c>
      <c r="C24" s="261" t="s">
        <v>692</v>
      </c>
      <c r="D24" s="261"/>
      <c r="E24" s="261"/>
      <c r="F24" s="260" t="s">
        <v>691</v>
      </c>
    </row>
    <row r="25" spans="1:6" ht="15" x14ac:dyDescent="0.25">
      <c r="A25" s="263"/>
      <c r="B25" s="262"/>
      <c r="C25" s="261" t="s">
        <v>690</v>
      </c>
      <c r="D25" s="261"/>
      <c r="E25" s="261"/>
      <c r="F25" s="260" t="s">
        <v>689</v>
      </c>
    </row>
    <row r="26" spans="1:6" ht="15" x14ac:dyDescent="0.25">
      <c r="B26" s="26" t="s">
        <v>17</v>
      </c>
      <c r="C26" s="86"/>
      <c r="D26" s="86"/>
      <c r="E26" s="86"/>
      <c r="F26" s="27">
        <v>43473</v>
      </c>
    </row>
    <row r="27" spans="1:6" ht="15" x14ac:dyDescent="0.25">
      <c r="B27" s="257" t="s">
        <v>678</v>
      </c>
      <c r="C27" s="86" t="s">
        <v>677</v>
      </c>
      <c r="D27" s="86"/>
      <c r="E27" s="86"/>
      <c r="F27" s="27"/>
    </row>
    <row r="28" spans="1:6" ht="15" x14ac:dyDescent="0.25">
      <c r="B28" s="257" t="s">
        <v>676</v>
      </c>
      <c r="C28" s="86" t="s">
        <v>675</v>
      </c>
      <c r="D28" s="86"/>
      <c r="E28" s="86"/>
      <c r="F28" s="27"/>
    </row>
    <row r="29" spans="1:6" ht="15" x14ac:dyDescent="0.25">
      <c r="B29" s="257" t="s">
        <v>674</v>
      </c>
      <c r="C29" s="86" t="s">
        <v>673</v>
      </c>
      <c r="D29" s="86"/>
      <c r="E29" s="86"/>
      <c r="F29" s="27"/>
    </row>
    <row r="30" spans="1:6" ht="15" x14ac:dyDescent="0.25">
      <c r="B30" s="257" t="s">
        <v>672</v>
      </c>
      <c r="C30" s="86" t="s">
        <v>671</v>
      </c>
      <c r="D30" s="86"/>
      <c r="E30" s="86"/>
      <c r="F30" s="27"/>
    </row>
    <row r="31" spans="1:6" ht="15" x14ac:dyDescent="0.25">
      <c r="B31" s="257" t="s">
        <v>670</v>
      </c>
      <c r="C31" s="86" t="s">
        <v>669</v>
      </c>
      <c r="D31" s="86"/>
      <c r="E31" s="86"/>
      <c r="F31" s="27"/>
    </row>
    <row r="32" spans="1:6" ht="15" x14ac:dyDescent="0.25">
      <c r="B32" s="257" t="s">
        <v>668</v>
      </c>
      <c r="C32" s="86" t="s">
        <v>667</v>
      </c>
      <c r="D32" s="86"/>
      <c r="E32" s="86"/>
      <c r="F32" s="27"/>
    </row>
    <row r="33" spans="1:6" ht="15" x14ac:dyDescent="0.25">
      <c r="B33" s="257" t="s">
        <v>666</v>
      </c>
      <c r="C33" s="86" t="s">
        <v>665</v>
      </c>
      <c r="D33" s="86"/>
      <c r="E33" s="86"/>
      <c r="F33" s="27"/>
    </row>
    <row r="34" spans="1:6" ht="15" x14ac:dyDescent="0.25">
      <c r="B34" s="257" t="s">
        <v>664</v>
      </c>
      <c r="C34" s="86" t="s">
        <v>663</v>
      </c>
      <c r="D34" s="86"/>
      <c r="E34" s="86"/>
      <c r="F34" s="27"/>
    </row>
    <row r="35" spans="1:6" ht="15" x14ac:dyDescent="0.25">
      <c r="B35" s="26" t="s">
        <v>688</v>
      </c>
      <c r="C35" s="86"/>
      <c r="D35" s="86"/>
      <c r="E35" s="86"/>
      <c r="F35" s="29">
        <v>43480</v>
      </c>
    </row>
    <row r="36" spans="1:6" ht="15" x14ac:dyDescent="0.25">
      <c r="B36" s="257" t="s">
        <v>678</v>
      </c>
      <c r="C36" s="86" t="s">
        <v>677</v>
      </c>
      <c r="D36" s="86"/>
      <c r="E36" s="86"/>
      <c r="F36" s="62"/>
    </row>
    <row r="37" spans="1:6" ht="15" x14ac:dyDescent="0.25">
      <c r="B37" s="257" t="s">
        <v>676</v>
      </c>
      <c r="C37" s="86" t="s">
        <v>675</v>
      </c>
      <c r="D37" s="86"/>
      <c r="E37" s="86"/>
      <c r="F37" s="62"/>
    </row>
    <row r="38" spans="1:6" ht="15" x14ac:dyDescent="0.25">
      <c r="B38" s="257" t="s">
        <v>674</v>
      </c>
      <c r="C38" s="86" t="s">
        <v>673</v>
      </c>
      <c r="D38" s="86"/>
      <c r="E38" s="86"/>
      <c r="F38" s="62"/>
    </row>
    <row r="39" spans="1:6" ht="15" x14ac:dyDescent="0.25">
      <c r="B39" s="257" t="s">
        <v>672</v>
      </c>
      <c r="C39" s="86" t="s">
        <v>671</v>
      </c>
      <c r="D39" s="86"/>
      <c r="E39" s="86"/>
      <c r="F39" s="62"/>
    </row>
    <row r="40" spans="1:6" ht="15" x14ac:dyDescent="0.25">
      <c r="B40" s="257" t="s">
        <v>670</v>
      </c>
      <c r="C40" s="86" t="s">
        <v>669</v>
      </c>
      <c r="D40" s="86"/>
      <c r="E40" s="86"/>
      <c r="F40" s="62"/>
    </row>
    <row r="41" spans="1:6" ht="15" x14ac:dyDescent="0.25">
      <c r="B41" s="257" t="s">
        <v>668</v>
      </c>
      <c r="C41" s="86" t="s">
        <v>667</v>
      </c>
      <c r="D41" s="86"/>
      <c r="E41" s="86"/>
      <c r="F41" s="62"/>
    </row>
    <row r="42" spans="1:6" ht="15" x14ac:dyDescent="0.25">
      <c r="B42" s="257" t="s">
        <v>666</v>
      </c>
      <c r="C42" s="86" t="s">
        <v>665</v>
      </c>
      <c r="D42" s="86"/>
      <c r="E42" s="86"/>
      <c r="F42" s="62"/>
    </row>
    <row r="43" spans="1:6" ht="15" x14ac:dyDescent="0.25">
      <c r="B43" s="257" t="s">
        <v>664</v>
      </c>
      <c r="C43" s="86" t="s">
        <v>663</v>
      </c>
      <c r="D43" s="86"/>
      <c r="E43" s="86"/>
      <c r="F43" s="62"/>
    </row>
    <row r="44" spans="1:6" ht="6" customHeight="1" x14ac:dyDescent="0.25">
      <c r="A44" s="131"/>
      <c r="B44" s="235"/>
      <c r="C44" s="235"/>
      <c r="D44" s="235"/>
      <c r="E44" s="235"/>
      <c r="F44" s="235"/>
    </row>
    <row r="45" spans="1:6" ht="15" x14ac:dyDescent="0.25">
      <c r="B45" s="24" t="s">
        <v>2</v>
      </c>
      <c r="C45" s="85"/>
      <c r="D45" s="85"/>
      <c r="E45" s="85"/>
      <c r="F45" s="25" t="s">
        <v>18</v>
      </c>
    </row>
    <row r="46" spans="1:6" ht="15" x14ac:dyDescent="0.25">
      <c r="B46" s="26" t="s">
        <v>687</v>
      </c>
      <c r="C46" s="86"/>
      <c r="D46" s="86"/>
      <c r="E46" s="86"/>
      <c r="F46" s="27">
        <v>43509</v>
      </c>
    </row>
    <row r="47" spans="1:6" ht="15" x14ac:dyDescent="0.25">
      <c r="B47" s="257" t="s">
        <v>678</v>
      </c>
      <c r="C47" s="86" t="s">
        <v>677</v>
      </c>
      <c r="D47" s="86"/>
      <c r="E47" s="86"/>
      <c r="F47" s="62"/>
    </row>
    <row r="48" spans="1:6" ht="15" x14ac:dyDescent="0.25">
      <c r="B48" s="257" t="s">
        <v>676</v>
      </c>
      <c r="C48" s="86" t="s">
        <v>675</v>
      </c>
      <c r="D48" s="86"/>
      <c r="E48" s="86"/>
      <c r="F48" s="62"/>
    </row>
    <row r="49" spans="1:6" ht="15" x14ac:dyDescent="0.25">
      <c r="B49" s="257" t="s">
        <v>674</v>
      </c>
      <c r="C49" s="86" t="s">
        <v>673</v>
      </c>
      <c r="D49" s="86"/>
      <c r="E49" s="86"/>
      <c r="F49" s="62"/>
    </row>
    <row r="50" spans="1:6" ht="15" x14ac:dyDescent="0.25">
      <c r="B50" s="257" t="s">
        <v>672</v>
      </c>
      <c r="C50" s="86" t="s">
        <v>671</v>
      </c>
      <c r="D50" s="86"/>
      <c r="E50" s="86"/>
      <c r="F50" s="62"/>
    </row>
    <row r="51" spans="1:6" ht="15" x14ac:dyDescent="0.25">
      <c r="B51" s="257" t="s">
        <v>670</v>
      </c>
      <c r="C51" s="86" t="s">
        <v>669</v>
      </c>
      <c r="D51" s="86"/>
      <c r="E51" s="86"/>
      <c r="F51" s="62"/>
    </row>
    <row r="52" spans="1:6" ht="15" x14ac:dyDescent="0.25">
      <c r="B52" s="257" t="s">
        <v>668</v>
      </c>
      <c r="C52" s="86" t="s">
        <v>667</v>
      </c>
      <c r="D52" s="86"/>
      <c r="E52" s="86"/>
      <c r="F52" s="62"/>
    </row>
    <row r="53" spans="1:6" ht="15" x14ac:dyDescent="0.25">
      <c r="B53" s="257" t="s">
        <v>666</v>
      </c>
      <c r="C53" s="86" t="s">
        <v>665</v>
      </c>
      <c r="D53" s="86"/>
      <c r="E53" s="86"/>
      <c r="F53" s="62"/>
    </row>
    <row r="54" spans="1:6" ht="15" x14ac:dyDescent="0.25">
      <c r="B54" s="257" t="s">
        <v>664</v>
      </c>
      <c r="C54" s="86" t="s">
        <v>663</v>
      </c>
      <c r="D54" s="86"/>
      <c r="E54" s="86"/>
      <c r="F54" s="62"/>
    </row>
    <row r="55" spans="1:6" ht="6" customHeight="1" x14ac:dyDescent="0.25">
      <c r="A55" s="131"/>
      <c r="B55" s="235"/>
      <c r="C55" s="235"/>
      <c r="D55" s="235"/>
      <c r="E55" s="235"/>
      <c r="F55" s="235"/>
    </row>
    <row r="56" spans="1:6" ht="15" x14ac:dyDescent="0.25">
      <c r="B56" s="24" t="s">
        <v>3</v>
      </c>
      <c r="C56" s="85"/>
      <c r="D56" s="85"/>
      <c r="E56" s="85"/>
      <c r="F56" s="25" t="s">
        <v>18</v>
      </c>
    </row>
    <row r="57" spans="1:6" ht="15" x14ac:dyDescent="0.25">
      <c r="B57" s="26" t="s">
        <v>686</v>
      </c>
      <c r="C57" s="86"/>
      <c r="D57" s="86"/>
      <c r="E57" s="86"/>
      <c r="F57" s="27">
        <v>43537</v>
      </c>
    </row>
    <row r="58" spans="1:6" ht="15" x14ac:dyDescent="0.25">
      <c r="B58" s="257" t="s">
        <v>678</v>
      </c>
      <c r="C58" s="86" t="s">
        <v>677</v>
      </c>
      <c r="D58" s="86"/>
      <c r="E58" s="86"/>
      <c r="F58" s="27"/>
    </row>
    <row r="59" spans="1:6" ht="15" x14ac:dyDescent="0.25">
      <c r="B59" s="257" t="s">
        <v>676</v>
      </c>
      <c r="C59" s="86" t="s">
        <v>675</v>
      </c>
      <c r="D59" s="86"/>
      <c r="E59" s="86"/>
      <c r="F59" s="27"/>
    </row>
    <row r="60" spans="1:6" ht="15" x14ac:dyDescent="0.25">
      <c r="B60" s="257" t="s">
        <v>674</v>
      </c>
      <c r="C60" s="86" t="s">
        <v>673</v>
      </c>
      <c r="D60" s="86"/>
      <c r="E60" s="86"/>
      <c r="F60" s="27"/>
    </row>
    <row r="61" spans="1:6" ht="15" x14ac:dyDescent="0.25">
      <c r="B61" s="257" t="s">
        <v>672</v>
      </c>
      <c r="C61" s="86" t="s">
        <v>671</v>
      </c>
      <c r="D61" s="86"/>
      <c r="E61" s="86"/>
      <c r="F61" s="27"/>
    </row>
    <row r="62" spans="1:6" ht="15" x14ac:dyDescent="0.25">
      <c r="B62" s="257" t="s">
        <v>670</v>
      </c>
      <c r="C62" s="86" t="s">
        <v>669</v>
      </c>
      <c r="D62" s="86"/>
      <c r="E62" s="86"/>
      <c r="F62" s="27"/>
    </row>
    <row r="63" spans="1:6" ht="15" x14ac:dyDescent="0.25">
      <c r="B63" s="257" t="s">
        <v>668</v>
      </c>
      <c r="C63" s="86" t="s">
        <v>667</v>
      </c>
      <c r="D63" s="86"/>
      <c r="E63" s="86"/>
      <c r="F63" s="27"/>
    </row>
    <row r="64" spans="1:6" ht="15" x14ac:dyDescent="0.25">
      <c r="B64" s="257" t="s">
        <v>666</v>
      </c>
      <c r="C64" s="86" t="s">
        <v>665</v>
      </c>
      <c r="D64" s="86"/>
      <c r="E64" s="86"/>
      <c r="F64" s="27"/>
    </row>
    <row r="65" spans="2:6" ht="15" x14ac:dyDescent="0.25">
      <c r="B65" s="257" t="s">
        <v>664</v>
      </c>
      <c r="C65" s="86" t="s">
        <v>663</v>
      </c>
      <c r="D65" s="86"/>
      <c r="E65" s="86"/>
      <c r="F65" s="27"/>
    </row>
    <row r="66" spans="2:6" ht="15" x14ac:dyDescent="0.25">
      <c r="B66" s="26" t="s">
        <v>685</v>
      </c>
      <c r="C66" s="86"/>
      <c r="D66" s="86"/>
      <c r="E66" s="86"/>
      <c r="F66" s="27">
        <v>43541</v>
      </c>
    </row>
    <row r="67" spans="2:6" ht="15" x14ac:dyDescent="0.25">
      <c r="B67" s="257" t="s">
        <v>684</v>
      </c>
      <c r="C67" s="86" t="s">
        <v>683</v>
      </c>
      <c r="D67" s="86"/>
      <c r="E67" s="86"/>
      <c r="F67" s="27"/>
    </row>
    <row r="68" spans="2:6" ht="15" x14ac:dyDescent="0.25">
      <c r="B68" s="257" t="s">
        <v>682</v>
      </c>
      <c r="C68" s="86"/>
      <c r="D68" s="86"/>
      <c r="E68" s="86"/>
      <c r="F68" s="27"/>
    </row>
    <row r="69" spans="2:6" ht="15" x14ac:dyDescent="0.25">
      <c r="B69" s="257" t="s">
        <v>681</v>
      </c>
      <c r="C69" s="86"/>
      <c r="D69" s="86"/>
      <c r="E69" s="86"/>
      <c r="F69" s="27"/>
    </row>
    <row r="70" spans="2:6" ht="15" x14ac:dyDescent="0.25">
      <c r="B70" s="26" t="s">
        <v>680</v>
      </c>
      <c r="C70" s="86"/>
      <c r="D70" s="86"/>
      <c r="E70" s="86"/>
      <c r="F70" s="27">
        <v>43532</v>
      </c>
    </row>
    <row r="71" spans="2:6" ht="15" x14ac:dyDescent="0.25">
      <c r="B71" s="257" t="s">
        <v>678</v>
      </c>
      <c r="C71" s="86" t="s">
        <v>677</v>
      </c>
      <c r="D71" s="86"/>
      <c r="E71" s="86"/>
      <c r="F71" s="27"/>
    </row>
    <row r="72" spans="2:6" ht="15" x14ac:dyDescent="0.25">
      <c r="B72" s="257" t="s">
        <v>676</v>
      </c>
      <c r="C72" s="86" t="s">
        <v>675</v>
      </c>
      <c r="D72" s="86"/>
      <c r="E72" s="86"/>
      <c r="F72" s="27"/>
    </row>
    <row r="73" spans="2:6" ht="15" x14ac:dyDescent="0.25">
      <c r="B73" s="257" t="s">
        <v>674</v>
      </c>
      <c r="C73" s="86" t="s">
        <v>673</v>
      </c>
      <c r="D73" s="86"/>
      <c r="E73" s="86"/>
      <c r="F73" s="27"/>
    </row>
    <row r="74" spans="2:6" ht="15" x14ac:dyDescent="0.25">
      <c r="B74" s="257" t="s">
        <v>672</v>
      </c>
      <c r="C74" s="86" t="s">
        <v>671</v>
      </c>
      <c r="D74" s="86"/>
      <c r="E74" s="86"/>
      <c r="F74" s="27"/>
    </row>
    <row r="75" spans="2:6" ht="15" x14ac:dyDescent="0.25">
      <c r="B75" s="257" t="s">
        <v>670</v>
      </c>
      <c r="C75" s="86" t="s">
        <v>669</v>
      </c>
      <c r="D75" s="86"/>
      <c r="E75" s="86"/>
      <c r="F75" s="27"/>
    </row>
    <row r="76" spans="2:6" ht="15" x14ac:dyDescent="0.25">
      <c r="B76" s="257" t="s">
        <v>668</v>
      </c>
      <c r="C76" s="86" t="s">
        <v>667</v>
      </c>
      <c r="D76" s="86"/>
      <c r="E76" s="86"/>
      <c r="F76" s="27"/>
    </row>
    <row r="77" spans="2:6" ht="15" x14ac:dyDescent="0.25">
      <c r="B77" s="257" t="s">
        <v>666</v>
      </c>
      <c r="C77" s="86" t="s">
        <v>665</v>
      </c>
      <c r="D77" s="86"/>
      <c r="E77" s="86"/>
      <c r="F77" s="27"/>
    </row>
    <row r="78" spans="2:6" ht="15" x14ac:dyDescent="0.25">
      <c r="B78" s="257" t="s">
        <v>664</v>
      </c>
      <c r="C78" s="86" t="s">
        <v>663</v>
      </c>
      <c r="D78" s="86"/>
      <c r="E78" s="86"/>
      <c r="F78" s="27"/>
    </row>
    <row r="79" spans="2:6" ht="15" x14ac:dyDescent="0.25">
      <c r="B79" s="26" t="s">
        <v>679</v>
      </c>
      <c r="C79" s="86"/>
      <c r="D79" s="86"/>
      <c r="E79" s="86"/>
      <c r="F79" s="27">
        <v>43539</v>
      </c>
    </row>
    <row r="80" spans="2:6" ht="15" x14ac:dyDescent="0.25">
      <c r="B80" s="257" t="s">
        <v>678</v>
      </c>
      <c r="C80" s="86" t="s">
        <v>677</v>
      </c>
      <c r="D80" s="86"/>
      <c r="E80" s="86"/>
      <c r="F80" s="27"/>
    </row>
    <row r="81" spans="1:6" ht="15" x14ac:dyDescent="0.25">
      <c r="B81" s="257" t="s">
        <v>676</v>
      </c>
      <c r="C81" s="86" t="s">
        <v>675</v>
      </c>
      <c r="D81" s="86"/>
      <c r="E81" s="86"/>
      <c r="F81" s="27"/>
    </row>
    <row r="82" spans="1:6" ht="15" x14ac:dyDescent="0.25">
      <c r="B82" s="257" t="s">
        <v>674</v>
      </c>
      <c r="C82" s="86" t="s">
        <v>673</v>
      </c>
      <c r="D82" s="86"/>
      <c r="E82" s="86"/>
      <c r="F82" s="27"/>
    </row>
    <row r="83" spans="1:6" ht="15" x14ac:dyDescent="0.25">
      <c r="B83" s="257" t="s">
        <v>672</v>
      </c>
      <c r="C83" s="86" t="s">
        <v>671</v>
      </c>
      <c r="D83" s="86"/>
      <c r="E83" s="86"/>
      <c r="F83" s="27"/>
    </row>
    <row r="84" spans="1:6" ht="15" x14ac:dyDescent="0.25">
      <c r="B84" s="257" t="s">
        <v>670</v>
      </c>
      <c r="C84" s="86" t="s">
        <v>669</v>
      </c>
      <c r="D84" s="86"/>
      <c r="E84" s="86"/>
      <c r="F84" s="27"/>
    </row>
    <row r="85" spans="1:6" ht="15" x14ac:dyDescent="0.25">
      <c r="B85" s="257" t="s">
        <v>668</v>
      </c>
      <c r="C85" s="86" t="s">
        <v>667</v>
      </c>
      <c r="D85" s="86"/>
      <c r="E85" s="86"/>
      <c r="F85" s="27"/>
    </row>
    <row r="86" spans="1:6" ht="15" x14ac:dyDescent="0.25">
      <c r="B86" s="257" t="s">
        <v>666</v>
      </c>
      <c r="C86" s="86" t="s">
        <v>665</v>
      </c>
      <c r="D86" s="86"/>
      <c r="E86" s="86"/>
      <c r="F86" s="27"/>
    </row>
    <row r="87" spans="1:6" ht="15" x14ac:dyDescent="0.25">
      <c r="B87" s="257" t="s">
        <v>664</v>
      </c>
      <c r="C87" s="86" t="s">
        <v>663</v>
      </c>
      <c r="D87" s="86"/>
      <c r="E87" s="86"/>
      <c r="F87" s="27"/>
    </row>
    <row r="88" spans="1:6" ht="15" x14ac:dyDescent="0.25">
      <c r="B88" s="26" t="s">
        <v>662</v>
      </c>
      <c r="C88" s="86"/>
      <c r="D88" s="86"/>
      <c r="E88" s="86"/>
      <c r="F88" s="27">
        <v>43555</v>
      </c>
    </row>
    <row r="89" spans="1:6" ht="15" x14ac:dyDescent="0.25">
      <c r="B89" s="257" t="s">
        <v>661</v>
      </c>
      <c r="C89" s="86"/>
      <c r="D89" s="86"/>
      <c r="E89" s="86"/>
      <c r="F89" s="27"/>
    </row>
    <row r="90" spans="1:6" ht="15" x14ac:dyDescent="0.25">
      <c r="B90" s="257" t="s">
        <v>660</v>
      </c>
      <c r="C90" s="86"/>
      <c r="D90" s="86"/>
      <c r="E90" s="86"/>
      <c r="F90" s="27"/>
    </row>
    <row r="91" spans="1:6" ht="15" x14ac:dyDescent="0.25">
      <c r="B91" s="26" t="s">
        <v>659</v>
      </c>
      <c r="C91" s="86"/>
      <c r="D91" s="86"/>
      <c r="E91" s="86"/>
      <c r="F91" s="27">
        <v>43555</v>
      </c>
    </row>
    <row r="92" spans="1:6" ht="15" x14ac:dyDescent="0.25">
      <c r="B92" s="26" t="s">
        <v>645</v>
      </c>
      <c r="C92" s="86"/>
      <c r="D92" s="86"/>
      <c r="E92" s="86"/>
      <c r="F92" s="27">
        <v>43555</v>
      </c>
    </row>
    <row r="93" spans="1:6" ht="6" customHeight="1" x14ac:dyDescent="0.25">
      <c r="A93" s="131"/>
      <c r="B93" s="235"/>
      <c r="C93" s="235"/>
      <c r="D93" s="235"/>
      <c r="E93" s="235"/>
      <c r="F93" s="235"/>
    </row>
    <row r="94" spans="1:6" ht="15" x14ac:dyDescent="0.25">
      <c r="B94" s="24" t="s">
        <v>658</v>
      </c>
      <c r="C94" s="85"/>
      <c r="D94" s="85"/>
      <c r="E94" s="85"/>
      <c r="F94" s="25"/>
    </row>
    <row r="95" spans="1:6" ht="15" x14ac:dyDescent="0.25">
      <c r="B95" s="62" t="s">
        <v>657</v>
      </c>
      <c r="C95" s="62"/>
      <c r="D95" s="62"/>
      <c r="E95" s="62"/>
      <c r="F95" s="27">
        <v>43570</v>
      </c>
    </row>
    <row r="96" spans="1:6" ht="15" x14ac:dyDescent="0.25">
      <c r="B96" s="257" t="s">
        <v>656</v>
      </c>
      <c r="C96" s="62" t="s">
        <v>655</v>
      </c>
      <c r="D96" s="62"/>
      <c r="E96" s="62"/>
      <c r="F96" s="27"/>
    </row>
    <row r="97" spans="2:6" ht="15" x14ac:dyDescent="0.25">
      <c r="B97" s="257" t="s">
        <v>654</v>
      </c>
      <c r="C97" s="62" t="s">
        <v>653</v>
      </c>
      <c r="D97" s="62"/>
      <c r="E97" s="62"/>
      <c r="F97" s="27"/>
    </row>
    <row r="98" spans="2:6" ht="15" x14ac:dyDescent="0.25">
      <c r="B98" s="259" t="s">
        <v>652</v>
      </c>
      <c r="C98" s="62" t="s">
        <v>650</v>
      </c>
      <c r="D98" s="62"/>
      <c r="E98" s="62"/>
      <c r="F98" s="27"/>
    </row>
    <row r="99" spans="2:6" ht="15" x14ac:dyDescent="0.25">
      <c r="B99" s="259" t="s">
        <v>651</v>
      </c>
      <c r="C99" s="62" t="s">
        <v>650</v>
      </c>
      <c r="D99" s="62"/>
      <c r="E99" s="62"/>
      <c r="F99" s="27"/>
    </row>
    <row r="100" spans="2:6" ht="15" x14ac:dyDescent="0.25">
      <c r="B100" s="259" t="s">
        <v>649</v>
      </c>
      <c r="C100" s="62" t="s">
        <v>648</v>
      </c>
      <c r="D100" s="62"/>
      <c r="E100" s="62"/>
      <c r="F100" s="27"/>
    </row>
    <row r="101" spans="2:6" ht="15" x14ac:dyDescent="0.25">
      <c r="B101" s="259" t="s">
        <v>647</v>
      </c>
      <c r="C101" s="62"/>
      <c r="D101" s="62"/>
      <c r="E101" s="62"/>
      <c r="F101" s="27"/>
    </row>
    <row r="102" spans="2:6" ht="15" x14ac:dyDescent="0.25">
      <c r="B102" s="62" t="s">
        <v>646</v>
      </c>
      <c r="C102" s="62"/>
      <c r="D102" s="62"/>
      <c r="E102" s="62"/>
      <c r="F102" s="27">
        <v>43567</v>
      </c>
    </row>
    <row r="103" spans="2:6" ht="15" x14ac:dyDescent="0.25">
      <c r="B103" s="26" t="s">
        <v>645</v>
      </c>
      <c r="C103" s="86"/>
      <c r="D103" s="86"/>
      <c r="E103" s="86"/>
      <c r="F103" s="27">
        <v>43585</v>
      </c>
    </row>
    <row r="104" spans="2:6" ht="6" customHeight="1" x14ac:dyDescent="0.25"/>
    <row r="105" spans="2:6" ht="15" x14ac:dyDescent="0.25">
      <c r="B105" s="24" t="s">
        <v>5</v>
      </c>
      <c r="C105" s="258"/>
      <c r="D105" s="258"/>
      <c r="E105" s="258"/>
      <c r="F105" s="258"/>
    </row>
    <row r="106" spans="2:6" ht="15" x14ac:dyDescent="0.25">
      <c r="B106" s="62" t="s">
        <v>644</v>
      </c>
      <c r="C106" s="62"/>
      <c r="D106" s="62"/>
      <c r="E106" s="62"/>
      <c r="F106" s="27">
        <v>43616</v>
      </c>
    </row>
    <row r="107" spans="2:6" ht="15" x14ac:dyDescent="0.25">
      <c r="B107" s="62" t="s">
        <v>643</v>
      </c>
      <c r="C107" s="62"/>
      <c r="D107" s="62"/>
      <c r="E107" s="62"/>
      <c r="F107" s="27">
        <v>43600</v>
      </c>
    </row>
    <row r="108" spans="2:6" ht="15" x14ac:dyDescent="0.25">
      <c r="B108" s="62" t="s">
        <v>642</v>
      </c>
      <c r="C108" s="62"/>
      <c r="D108" s="62"/>
      <c r="E108" s="62"/>
      <c r="F108" s="27">
        <v>43601</v>
      </c>
    </row>
    <row r="109" spans="2:6" ht="15" x14ac:dyDescent="0.25">
      <c r="B109" s="257" t="s">
        <v>641</v>
      </c>
      <c r="C109" s="62" t="s">
        <v>640</v>
      </c>
      <c r="D109" s="62"/>
      <c r="E109" s="62"/>
      <c r="F109" s="27"/>
    </row>
    <row r="110" spans="2:6" ht="15" x14ac:dyDescent="0.25">
      <c r="B110" s="257" t="s">
        <v>639</v>
      </c>
      <c r="C110" s="62" t="s">
        <v>638</v>
      </c>
      <c r="D110" s="62"/>
      <c r="E110" s="62"/>
      <c r="F110" s="27"/>
    </row>
    <row r="111" spans="2:6" ht="15" x14ac:dyDescent="0.25">
      <c r="B111" s="257" t="s">
        <v>637</v>
      </c>
      <c r="C111" s="62" t="s">
        <v>636</v>
      </c>
      <c r="D111" s="62"/>
      <c r="E111" s="62"/>
      <c r="F111" s="27"/>
    </row>
    <row r="112" spans="2:6" ht="15" x14ac:dyDescent="0.25">
      <c r="B112" s="257" t="s">
        <v>635</v>
      </c>
      <c r="C112" s="62" t="s">
        <v>634</v>
      </c>
      <c r="D112" s="62" t="s">
        <v>633</v>
      </c>
      <c r="E112" s="62"/>
      <c r="F112" s="27"/>
    </row>
    <row r="113" spans="2:6" ht="6.75" customHeight="1" x14ac:dyDescent="0.25">
      <c r="B113" s="62"/>
      <c r="C113" s="62"/>
      <c r="D113" s="62"/>
      <c r="E113" s="62"/>
      <c r="F113" s="27"/>
    </row>
    <row r="114" spans="2:6" ht="15" x14ac:dyDescent="0.25">
      <c r="B114" s="62" t="s">
        <v>632</v>
      </c>
      <c r="C114" s="62"/>
      <c r="D114" s="62"/>
      <c r="E114" s="62"/>
      <c r="F114" s="27">
        <v>43599</v>
      </c>
    </row>
    <row r="115" spans="2:6" ht="15" x14ac:dyDescent="0.25">
      <c r="B115" s="62" t="s">
        <v>631</v>
      </c>
      <c r="C115" s="62"/>
      <c r="D115" s="62"/>
      <c r="E115" s="62"/>
      <c r="F115" s="27">
        <v>43599</v>
      </c>
    </row>
    <row r="116" spans="2:6" ht="6" customHeight="1" x14ac:dyDescent="0.25"/>
    <row r="117" spans="2:6" ht="15" x14ac:dyDescent="0.25">
      <c r="B117" s="24" t="s">
        <v>6</v>
      </c>
      <c r="C117" s="85"/>
      <c r="D117" s="85"/>
      <c r="E117" s="85"/>
      <c r="F117" s="48" t="s">
        <v>72</v>
      </c>
    </row>
    <row r="118" spans="2:6" ht="15" x14ac:dyDescent="0.25">
      <c r="B118" s="62" t="s">
        <v>630</v>
      </c>
      <c r="C118" s="62"/>
      <c r="D118" s="62"/>
      <c r="E118" s="62"/>
      <c r="F118" s="27">
        <v>43630</v>
      </c>
    </row>
    <row r="119" spans="2:6" ht="15" x14ac:dyDescent="0.25">
      <c r="B119" s="62" t="s">
        <v>629</v>
      </c>
      <c r="C119" s="62"/>
      <c r="D119" s="62"/>
      <c r="E119" s="62"/>
      <c r="F119" s="27">
        <v>43630</v>
      </c>
    </row>
    <row r="120" spans="2:6" ht="6" customHeight="1" x14ac:dyDescent="0.25"/>
    <row r="121" spans="2:6" ht="15" x14ac:dyDescent="0.25">
      <c r="B121" s="24" t="s">
        <v>7</v>
      </c>
      <c r="C121" s="85"/>
      <c r="D121" s="85"/>
      <c r="E121" s="85"/>
      <c r="F121" s="30"/>
    </row>
    <row r="122" spans="2:6" ht="15" x14ac:dyDescent="0.25">
      <c r="B122" s="26" t="s">
        <v>628</v>
      </c>
      <c r="C122" s="86"/>
      <c r="D122" s="86"/>
      <c r="E122" s="86"/>
      <c r="F122" s="27">
        <v>43658</v>
      </c>
    </row>
    <row r="123" spans="2:6" ht="15" x14ac:dyDescent="0.25">
      <c r="B123" s="26" t="s">
        <v>627</v>
      </c>
      <c r="C123" s="86"/>
      <c r="D123" s="86"/>
      <c r="E123" s="86"/>
      <c r="F123" s="27">
        <v>43658</v>
      </c>
    </row>
    <row r="124" spans="2:6" ht="15" x14ac:dyDescent="0.25">
      <c r="B124" s="28" t="s">
        <v>626</v>
      </c>
      <c r="C124" s="87"/>
      <c r="D124" s="87"/>
      <c r="E124" s="87"/>
      <c r="F124" s="29">
        <v>43661</v>
      </c>
    </row>
    <row r="125" spans="2:6" ht="6" customHeight="1" x14ac:dyDescent="0.25"/>
    <row r="126" spans="2:6" ht="15" x14ac:dyDescent="0.25">
      <c r="B126" s="24" t="s">
        <v>8</v>
      </c>
      <c r="C126" s="85"/>
      <c r="D126" s="85"/>
      <c r="E126" s="85"/>
      <c r="F126" s="30"/>
    </row>
    <row r="127" spans="2:6" ht="15" x14ac:dyDescent="0.25">
      <c r="B127" s="26" t="s">
        <v>625</v>
      </c>
      <c r="C127" s="86"/>
      <c r="D127" s="86"/>
      <c r="E127" s="86"/>
      <c r="F127" s="27">
        <v>43691</v>
      </c>
    </row>
    <row r="128" spans="2:6" ht="6" customHeight="1" x14ac:dyDescent="0.25"/>
    <row r="129" spans="2:6" ht="15" x14ac:dyDescent="0.25">
      <c r="B129" s="24" t="s">
        <v>12</v>
      </c>
      <c r="C129" s="85"/>
      <c r="D129" s="85"/>
      <c r="E129" s="85"/>
      <c r="F129" s="30"/>
    </row>
    <row r="130" spans="2:6" ht="15" x14ac:dyDescent="0.25">
      <c r="B130" s="26" t="s">
        <v>624</v>
      </c>
      <c r="C130" s="86"/>
      <c r="D130" s="86"/>
      <c r="E130" s="86"/>
      <c r="F130" s="27">
        <v>43721</v>
      </c>
    </row>
    <row r="131" spans="2:6" ht="15" x14ac:dyDescent="0.25">
      <c r="B131" s="26" t="s">
        <v>623</v>
      </c>
      <c r="C131" s="86"/>
      <c r="D131" s="86"/>
      <c r="E131" s="86"/>
      <c r="F131" s="27">
        <v>43721</v>
      </c>
    </row>
    <row r="132" spans="2:6" ht="15" x14ac:dyDescent="0.25">
      <c r="B132" s="28" t="s">
        <v>622</v>
      </c>
      <c r="C132" s="87"/>
      <c r="D132" s="87"/>
      <c r="E132" s="87"/>
      <c r="F132" s="29">
        <v>43724</v>
      </c>
    </row>
    <row r="133" spans="2:6" ht="6" customHeight="1" x14ac:dyDescent="0.25"/>
    <row r="134" spans="2:6" ht="15" x14ac:dyDescent="0.25">
      <c r="B134" s="24" t="s">
        <v>9</v>
      </c>
      <c r="C134" s="85"/>
      <c r="D134" s="85"/>
      <c r="E134" s="85"/>
      <c r="F134" s="30"/>
    </row>
    <row r="135" spans="2:6" ht="15.75" customHeight="1" x14ac:dyDescent="0.25">
      <c r="B135" s="26" t="s">
        <v>621</v>
      </c>
      <c r="C135" s="86"/>
      <c r="D135" s="86"/>
      <c r="E135" s="86"/>
      <c r="F135" s="27">
        <v>43749</v>
      </c>
    </row>
    <row r="136" spans="2:6" ht="15.75" customHeight="1" x14ac:dyDescent="0.25">
      <c r="B136" s="256" t="s">
        <v>620</v>
      </c>
      <c r="C136" s="86"/>
      <c r="D136" s="86"/>
      <c r="E136" s="86"/>
      <c r="F136" s="62">
        <v>43739</v>
      </c>
    </row>
    <row r="137" spans="2:6" ht="6" customHeight="1" x14ac:dyDescent="0.25"/>
    <row r="138" spans="2:6" ht="15" x14ac:dyDescent="0.25">
      <c r="B138" s="24" t="s">
        <v>10</v>
      </c>
      <c r="C138" s="85"/>
      <c r="D138" s="85"/>
      <c r="E138" s="85"/>
      <c r="F138" s="30"/>
    </row>
    <row r="139" spans="2:6" ht="15" x14ac:dyDescent="0.25">
      <c r="B139" s="26" t="s">
        <v>619</v>
      </c>
      <c r="C139" s="86"/>
      <c r="D139" s="86"/>
      <c r="E139" s="86"/>
      <c r="F139" s="27">
        <v>43784</v>
      </c>
    </row>
    <row r="140" spans="2:6" ht="15" x14ac:dyDescent="0.25">
      <c r="B140" s="26" t="s">
        <v>618</v>
      </c>
      <c r="C140" s="86"/>
      <c r="D140" s="86"/>
      <c r="E140" s="86"/>
      <c r="F140" s="27">
        <v>43784</v>
      </c>
    </row>
    <row r="141" spans="2:6" ht="15" x14ac:dyDescent="0.25">
      <c r="B141" s="28" t="s">
        <v>617</v>
      </c>
      <c r="C141" s="87"/>
      <c r="D141" s="87"/>
      <c r="E141" s="87"/>
      <c r="F141" s="29">
        <v>43784</v>
      </c>
    </row>
    <row r="142" spans="2:6" ht="6" customHeight="1" x14ac:dyDescent="0.25"/>
    <row r="143" spans="2:6" ht="15" x14ac:dyDescent="0.25">
      <c r="B143" s="24" t="s">
        <v>11</v>
      </c>
      <c r="C143" s="85"/>
      <c r="D143" s="85"/>
      <c r="E143" s="85"/>
      <c r="F143" s="30"/>
    </row>
    <row r="144" spans="2:6" ht="15" x14ac:dyDescent="0.25">
      <c r="B144" s="26" t="s">
        <v>616</v>
      </c>
      <c r="C144" s="86"/>
      <c r="D144" s="86"/>
      <c r="E144" s="86"/>
      <c r="F144" s="27">
        <v>43812</v>
      </c>
    </row>
    <row r="145" spans="2:6" ht="15" x14ac:dyDescent="0.25">
      <c r="B145" s="86" t="s">
        <v>615</v>
      </c>
      <c r="C145" s="86"/>
      <c r="D145" s="86"/>
      <c r="E145" s="86"/>
      <c r="F145" s="62">
        <v>47482</v>
      </c>
    </row>
    <row r="146" spans="2:6" ht="15" x14ac:dyDescent="0.25"/>
    <row r="147" spans="2:6" ht="15" x14ac:dyDescent="0.25">
      <c r="B147" s="2" t="s">
        <v>614</v>
      </c>
      <c r="C147" s="2"/>
      <c r="D147" s="2"/>
      <c r="E147" s="2"/>
    </row>
    <row r="148" spans="2:6" ht="15" x14ac:dyDescent="0.25">
      <c r="B148" s="255" t="s">
        <v>613</v>
      </c>
      <c r="C148" s="255"/>
      <c r="D148" s="255"/>
      <c r="E148" s="255"/>
    </row>
    <row r="149" spans="2:6" ht="15" x14ac:dyDescent="0.25"/>
    <row r="150" spans="2:6" ht="15" hidden="1" x14ac:dyDescent="0.25"/>
    <row r="151" spans="2:6" ht="15" hidden="1" x14ac:dyDescent="0.25"/>
    <row r="152" spans="2:6" ht="15" hidden="1" x14ac:dyDescent="0.25"/>
    <row r="153" spans="2:6" ht="15" hidden="1" x14ac:dyDescent="0.25"/>
    <row r="154" spans="2:6" ht="15" hidden="1" x14ac:dyDescent="0.25"/>
    <row r="155" spans="2:6" ht="15" hidden="1" x14ac:dyDescent="0.25"/>
    <row r="156" spans="2:6" ht="15" hidden="1" x14ac:dyDescent="0.25"/>
    <row r="157" spans="2:6" ht="15" hidden="1" x14ac:dyDescent="0.25"/>
    <row r="158" spans="2:6" ht="15" hidden="1" x14ac:dyDescent="0.25"/>
    <row r="159" spans="2:6" ht="15" hidden="1" x14ac:dyDescent="0.25"/>
    <row r="160" spans="2:6" ht="15" hidden="1" x14ac:dyDescent="0.25"/>
    <row r="161" ht="15" hidden="1" x14ac:dyDescent="0.25"/>
    <row r="162" ht="15" hidden="1" x14ac:dyDescent="0.25"/>
    <row r="163" ht="15" x14ac:dyDescent="0.25"/>
    <row r="164" ht="15" x14ac:dyDescent="0.25"/>
    <row r="165" ht="15" x14ac:dyDescent="0.25"/>
    <row r="166" ht="15" x14ac:dyDescent="0.25"/>
    <row r="167" ht="15" x14ac:dyDescent="0.25"/>
    <row r="168" ht="15" x14ac:dyDescent="0.25"/>
    <row r="169" ht="15" x14ac:dyDescent="0.25"/>
    <row r="170" ht="15" x14ac:dyDescent="0.25"/>
    <row r="171" ht="15" x14ac:dyDescent="0.25"/>
    <row r="172" ht="15" x14ac:dyDescent="0.25"/>
    <row r="173" ht="15" x14ac:dyDescent="0.25"/>
    <row r="174" ht="15" x14ac:dyDescent="0.25"/>
    <row r="175" ht="15" x14ac:dyDescent="0.25"/>
    <row r="176" ht="15" x14ac:dyDescent="0.25"/>
    <row r="177" ht="15" x14ac:dyDescent="0.25"/>
    <row r="178" ht="15" x14ac:dyDescent="0.25"/>
    <row r="179" ht="15" x14ac:dyDescent="0.25"/>
    <row r="180" ht="15" x14ac:dyDescent="0.25"/>
    <row r="181" ht="15" x14ac:dyDescent="0.25"/>
    <row r="182" ht="15" x14ac:dyDescent="0.25"/>
    <row r="183" ht="15" x14ac:dyDescent="0.25"/>
    <row r="184" ht="15"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sheetData>
  <mergeCells count="2">
    <mergeCell ref="A1:F1"/>
    <mergeCell ref="C3:F3"/>
  </mergeCells>
  <dataValidations count="1">
    <dataValidation type="list" allowBlank="1" showInputMessage="1" showErrorMessage="1" sqref="F117">
      <formula1>#REF!</formula1>
    </dataValidation>
  </dataValidations>
  <printOptions horizontalCentered="1" verticalCentered="1"/>
  <pageMargins left="0.51181102362204722" right="0.19685039370078741" top="0.15748031496062992" bottom="0.15748031496062992" header="0.31496062992125984" footer="0.31496062992125984"/>
  <pageSetup scale="74" fitToHeight="2"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L194"/>
  <sheetViews>
    <sheetView workbookViewId="0">
      <selection activeCell="E6" sqref="E6"/>
    </sheetView>
  </sheetViews>
  <sheetFormatPr baseColWidth="10" defaultColWidth="0" defaultRowHeight="0" customHeight="1" zeroHeight="1" x14ac:dyDescent="0.25"/>
  <cols>
    <col min="1" max="1" width="3.85546875" style="268" customWidth="1"/>
    <col min="2" max="2" width="62.140625" style="269" customWidth="1"/>
    <col min="3" max="3" width="57.42578125" style="269" customWidth="1"/>
    <col min="4" max="4" width="15.42578125" style="268" customWidth="1"/>
    <col min="5" max="5" width="3.140625" style="268" customWidth="1"/>
    <col min="6" max="12" width="0" style="268" hidden="1" customWidth="1"/>
    <col min="13" max="16384" width="11.42578125" style="268" hidden="1"/>
  </cols>
  <sheetData>
    <row r="1" spans="1:5" ht="16.5" x14ac:dyDescent="0.25">
      <c r="A1" s="362" t="s">
        <v>404</v>
      </c>
      <c r="B1" s="363"/>
      <c r="C1" s="363"/>
      <c r="D1" s="363"/>
      <c r="E1" s="364"/>
    </row>
    <row r="2" spans="1:5" ht="17.25" thickBot="1" x14ac:dyDescent="0.3">
      <c r="A2" s="298"/>
      <c r="B2" s="297"/>
      <c r="C2" s="297"/>
      <c r="D2" s="296"/>
      <c r="E2" s="295"/>
    </row>
    <row r="3" spans="1:5" ht="17.25" thickBot="1" x14ac:dyDescent="0.3">
      <c r="A3" s="302" t="s">
        <v>51</v>
      </c>
      <c r="B3" s="297"/>
      <c r="C3" s="365" t="str">
        <f>+'ACTIVIDADES POR TAREA'!C3:F3</f>
        <v>EMPRESA XYZ S.A.S.</v>
      </c>
      <c r="D3" s="366"/>
      <c r="E3" s="367"/>
    </row>
    <row r="4" spans="1:5" ht="17.25" thickBot="1" x14ac:dyDescent="0.3">
      <c r="A4" s="302"/>
      <c r="B4" s="297"/>
      <c r="C4" s="297"/>
      <c r="D4" s="296"/>
      <c r="E4" s="295"/>
    </row>
    <row r="5" spans="1:5" ht="17.25" thickBot="1" x14ac:dyDescent="0.3">
      <c r="A5" s="302" t="s">
        <v>50</v>
      </c>
      <c r="B5" s="297"/>
      <c r="C5" s="301">
        <f>+'ACTIVIDADES POR TAREA'!C5</f>
        <v>901000001</v>
      </c>
      <c r="D5" s="300" t="s">
        <v>31</v>
      </c>
      <c r="E5" s="299">
        <f>+'ACTIVIDADES POR TAREA'!E5</f>
        <v>6</v>
      </c>
    </row>
    <row r="6" spans="1:5" ht="16.5" x14ac:dyDescent="0.25">
      <c r="A6" s="298"/>
      <c r="B6" s="297"/>
      <c r="C6" s="297"/>
      <c r="D6" s="296"/>
      <c r="E6" s="295"/>
    </row>
    <row r="7" spans="1:5" ht="16.5" x14ac:dyDescent="0.25">
      <c r="A7" s="294"/>
      <c r="B7" s="293"/>
      <c r="C7" s="293"/>
      <c r="D7" s="292"/>
      <c r="E7" s="291"/>
    </row>
    <row r="8" spans="1:5" ht="16.5" x14ac:dyDescent="0.25">
      <c r="A8" s="284"/>
      <c r="B8" s="290" t="s">
        <v>708</v>
      </c>
      <c r="C8" s="289"/>
      <c r="D8" s="288"/>
      <c r="E8" s="288"/>
    </row>
    <row r="9" spans="1:5" ht="16.5" x14ac:dyDescent="0.25">
      <c r="A9" s="284"/>
      <c r="B9" s="287" t="s">
        <v>707</v>
      </c>
      <c r="C9" s="282"/>
      <c r="D9" s="280"/>
      <c r="E9" s="280"/>
    </row>
    <row r="10" spans="1:5" ht="16.5" x14ac:dyDescent="0.25">
      <c r="A10" s="284"/>
      <c r="B10" s="283" t="s">
        <v>705</v>
      </c>
      <c r="C10" s="282" t="s">
        <v>677</v>
      </c>
      <c r="D10" s="280"/>
      <c r="E10" s="280"/>
    </row>
    <row r="11" spans="1:5" ht="16.5" x14ac:dyDescent="0.25">
      <c r="A11" s="284"/>
      <c r="B11" s="283" t="s">
        <v>704</v>
      </c>
      <c r="C11" s="282" t="s">
        <v>703</v>
      </c>
      <c r="D11" s="280"/>
      <c r="E11" s="280"/>
    </row>
    <row r="12" spans="1:5" ht="33" x14ac:dyDescent="0.25">
      <c r="A12" s="284"/>
      <c r="B12" s="285"/>
      <c r="C12" s="282" t="s">
        <v>702</v>
      </c>
      <c r="D12" s="280"/>
      <c r="E12" s="280"/>
    </row>
    <row r="13" spans="1:5" ht="16.5" x14ac:dyDescent="0.25">
      <c r="A13" s="284"/>
      <c r="B13" s="283" t="s">
        <v>676</v>
      </c>
      <c r="C13" s="282" t="s">
        <v>675</v>
      </c>
      <c r="D13" s="280"/>
      <c r="E13" s="280"/>
    </row>
    <row r="14" spans="1:5" ht="33" x14ac:dyDescent="0.25">
      <c r="A14" s="284"/>
      <c r="B14" s="283" t="s">
        <v>701</v>
      </c>
      <c r="C14" s="282" t="s">
        <v>700</v>
      </c>
      <c r="D14" s="281" t="s">
        <v>694</v>
      </c>
      <c r="E14" s="280"/>
    </row>
    <row r="15" spans="1:5" ht="33" x14ac:dyDescent="0.25">
      <c r="A15" s="284"/>
      <c r="B15" s="285"/>
      <c r="C15" s="282" t="s">
        <v>699</v>
      </c>
      <c r="D15" s="286" t="s">
        <v>698</v>
      </c>
      <c r="E15" s="280"/>
    </row>
    <row r="16" spans="1:5" ht="16.5" x14ac:dyDescent="0.25">
      <c r="A16" s="284"/>
      <c r="B16" s="285"/>
      <c r="C16" s="282" t="s">
        <v>697</v>
      </c>
      <c r="D16" s="281" t="s">
        <v>695</v>
      </c>
      <c r="E16" s="280"/>
    </row>
    <row r="17" spans="1:6" ht="16.5" x14ac:dyDescent="0.25">
      <c r="A17" s="284"/>
      <c r="B17" s="283" t="s">
        <v>674</v>
      </c>
      <c r="C17" s="282" t="s">
        <v>673</v>
      </c>
      <c r="D17" s="281"/>
      <c r="E17" s="280"/>
    </row>
    <row r="18" spans="1:6" ht="16.5" x14ac:dyDescent="0.25">
      <c r="A18" s="284"/>
      <c r="B18" s="283" t="s">
        <v>672</v>
      </c>
      <c r="C18" s="282" t="s">
        <v>671</v>
      </c>
      <c r="D18" s="281"/>
      <c r="E18" s="280"/>
    </row>
    <row r="19" spans="1:6" ht="16.5" x14ac:dyDescent="0.25">
      <c r="A19" s="284"/>
      <c r="B19" s="283" t="s">
        <v>670</v>
      </c>
      <c r="C19" s="282" t="s">
        <v>669</v>
      </c>
      <c r="D19" s="281"/>
      <c r="E19" s="280"/>
    </row>
    <row r="20" spans="1:6" ht="16.5" x14ac:dyDescent="0.25">
      <c r="A20" s="284"/>
      <c r="B20" s="283"/>
      <c r="C20" s="282" t="s">
        <v>696</v>
      </c>
      <c r="D20" s="281" t="s">
        <v>695</v>
      </c>
      <c r="E20" s="280"/>
    </row>
    <row r="21" spans="1:6" ht="16.5" x14ac:dyDescent="0.25">
      <c r="A21" s="284"/>
      <c r="B21" s="283" t="s">
        <v>668</v>
      </c>
      <c r="C21" s="282" t="s">
        <v>667</v>
      </c>
      <c r="D21" s="281" t="s">
        <v>694</v>
      </c>
      <c r="E21" s="280"/>
    </row>
    <row r="22" spans="1:6" ht="16.5" x14ac:dyDescent="0.25">
      <c r="A22" s="284"/>
      <c r="B22" s="283" t="s">
        <v>666</v>
      </c>
      <c r="C22" s="282" t="s">
        <v>665</v>
      </c>
      <c r="D22" s="281"/>
      <c r="E22" s="280"/>
    </row>
    <row r="23" spans="1:6" ht="16.5" x14ac:dyDescent="0.25">
      <c r="A23" s="284"/>
      <c r="B23" s="283" t="s">
        <v>664</v>
      </c>
      <c r="C23" s="282" t="s">
        <v>663</v>
      </c>
      <c r="D23" s="281"/>
      <c r="E23" s="280"/>
    </row>
    <row r="24" spans="1:6" ht="16.5" x14ac:dyDescent="0.25">
      <c r="A24" s="284"/>
      <c r="B24" s="283" t="s">
        <v>693</v>
      </c>
      <c r="C24" s="282" t="s">
        <v>692</v>
      </c>
      <c r="D24" s="281" t="s">
        <v>691</v>
      </c>
      <c r="E24" s="280"/>
    </row>
    <row r="25" spans="1:6" ht="33" x14ac:dyDescent="0.25">
      <c r="A25" s="284"/>
      <c r="B25" s="283"/>
      <c r="C25" s="282" t="s">
        <v>690</v>
      </c>
      <c r="D25" s="281" t="s">
        <v>689</v>
      </c>
      <c r="E25" s="280"/>
    </row>
    <row r="26" spans="1:6" ht="16.5" x14ac:dyDescent="0.25">
      <c r="B26" s="276" t="s">
        <v>10</v>
      </c>
      <c r="C26" s="275"/>
      <c r="D26" s="279"/>
      <c r="E26" s="279"/>
      <c r="F26" s="274"/>
    </row>
    <row r="27" spans="1:6" ht="16.5" x14ac:dyDescent="0.25">
      <c r="B27" s="273" t="s">
        <v>619</v>
      </c>
      <c r="C27" s="368">
        <v>43784</v>
      </c>
      <c r="D27" s="368"/>
      <c r="E27" s="369"/>
      <c r="F27" s="272">
        <v>43784</v>
      </c>
    </row>
    <row r="28" spans="1:6" ht="16.5" x14ac:dyDescent="0.25">
      <c r="B28" s="273" t="s">
        <v>618</v>
      </c>
      <c r="C28" s="368">
        <v>43784</v>
      </c>
      <c r="D28" s="368"/>
      <c r="E28" s="369"/>
      <c r="F28" s="272">
        <v>43784</v>
      </c>
    </row>
    <row r="29" spans="1:6" ht="33" x14ac:dyDescent="0.25">
      <c r="B29" s="278" t="s">
        <v>617</v>
      </c>
      <c r="C29" s="368">
        <v>43784</v>
      </c>
      <c r="D29" s="368"/>
      <c r="E29" s="368"/>
      <c r="F29" s="277">
        <v>43784</v>
      </c>
    </row>
    <row r="30" spans="1:6" ht="15" customHeight="1" x14ac:dyDescent="0.25">
      <c r="B30" s="276" t="s">
        <v>11</v>
      </c>
      <c r="C30" s="370"/>
      <c r="D30" s="370"/>
      <c r="E30" s="275"/>
      <c r="F30" s="274"/>
    </row>
    <row r="31" spans="1:6" ht="15" customHeight="1" x14ac:dyDescent="0.25">
      <c r="B31" s="273" t="s">
        <v>616</v>
      </c>
      <c r="C31" s="368">
        <v>43812</v>
      </c>
      <c r="D31" s="368"/>
      <c r="E31" s="369"/>
      <c r="F31" s="272">
        <v>43812</v>
      </c>
    </row>
    <row r="32" spans="1:6" ht="15" customHeight="1" x14ac:dyDescent="0.25">
      <c r="B32" s="271" t="s">
        <v>615</v>
      </c>
      <c r="C32" s="368">
        <v>47482</v>
      </c>
      <c r="D32" s="368"/>
      <c r="E32" s="368"/>
      <c r="F32" s="270">
        <v>47482</v>
      </c>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0" hidden="1" customHeight="1" x14ac:dyDescent="0.25"/>
    <row r="194" ht="0" hidden="1" customHeight="1" x14ac:dyDescent="0.25"/>
  </sheetData>
  <mergeCells count="8">
    <mergeCell ref="A1:E1"/>
    <mergeCell ref="C3:E3"/>
    <mergeCell ref="C32:E32"/>
    <mergeCell ref="C31:E31"/>
    <mergeCell ref="C29:E29"/>
    <mergeCell ref="C28:E28"/>
    <mergeCell ref="C27:E27"/>
    <mergeCell ref="C30:D30"/>
  </mergeCells>
  <pageMargins left="0.7" right="0.7" top="0.75" bottom="0.75" header="0.3" footer="0.3"/>
  <pageSetup scale="85" orientation="landscape"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Z202"/>
  <sheetViews>
    <sheetView topLeftCell="A58" zoomScaleNormal="100" workbookViewId="0">
      <selection activeCell="H57" sqref="H57:K76"/>
    </sheetView>
  </sheetViews>
  <sheetFormatPr baseColWidth="10" defaultRowHeight="15" x14ac:dyDescent="0.25"/>
  <cols>
    <col min="1" max="1" width="11.42578125" style="106"/>
    <col min="2" max="2" width="26.42578125" style="106" customWidth="1"/>
    <col min="3" max="4" width="4.28515625" style="106" customWidth="1"/>
    <col min="5" max="5" width="5.140625" style="106" customWidth="1"/>
    <col min="6" max="6" width="10.42578125" style="106" customWidth="1"/>
    <col min="7" max="7" width="5" style="106" customWidth="1"/>
    <col min="8" max="8" width="17.28515625" style="106" customWidth="1"/>
    <col min="9" max="16384" width="11.42578125" style="106"/>
  </cols>
  <sheetData>
    <row r="1" spans="1:14" x14ac:dyDescent="0.25">
      <c r="B1" s="106" t="s">
        <v>232</v>
      </c>
      <c r="E1" s="106" t="s">
        <v>231</v>
      </c>
      <c r="H1" s="106" t="s">
        <v>230</v>
      </c>
    </row>
    <row r="2" spans="1:14" ht="18" thickBot="1" x14ac:dyDescent="0.3">
      <c r="A2" s="148">
        <v>0</v>
      </c>
      <c r="B2" s="161" t="s">
        <v>711</v>
      </c>
      <c r="C2" s="112"/>
      <c r="D2" s="112"/>
      <c r="E2" s="111">
        <f t="shared" ref="E2:E11" si="0">+VALUE(LEFT(B2,2))</f>
        <v>28</v>
      </c>
      <c r="F2" s="110" t="str">
        <f t="shared" ref="F2:F11" si="1">MID(B2,FIND(" de ",B2)+3,FIND(" de ",B2,FIND(" de ",B2)+3)-FIND(" de ",B2)-3)</f>
        <v xml:space="preserve"> Abril</v>
      </c>
      <c r="G2" s="110" t="str">
        <f t="shared" ref="G2:G11" si="2">+MID(B2,FIND(" de 2",B2)+4,5)</f>
        <v>2020</v>
      </c>
      <c r="H2" s="109">
        <f t="shared" ref="H2:H11" si="3">DATEVALUE(E2&amp;"/"&amp;F2&amp;"/"&amp;G2)</f>
        <v>43949</v>
      </c>
      <c r="I2" s="100">
        <v>43718</v>
      </c>
      <c r="J2" s="106">
        <v>43781</v>
      </c>
      <c r="K2" s="106">
        <v>43840</v>
      </c>
      <c r="L2" s="14">
        <v>0</v>
      </c>
      <c r="N2" s="106" t="s">
        <v>338</v>
      </c>
    </row>
    <row r="3" spans="1:14" ht="18" thickBot="1" x14ac:dyDescent="0.3">
      <c r="A3" s="148">
        <v>9</v>
      </c>
      <c r="B3" s="161" t="s">
        <v>712</v>
      </c>
      <c r="C3" s="112"/>
      <c r="D3" s="112"/>
      <c r="E3" s="111">
        <f t="shared" si="0"/>
        <v>29</v>
      </c>
      <c r="F3" s="110" t="str">
        <f t="shared" si="1"/>
        <v xml:space="preserve"> Abril</v>
      </c>
      <c r="G3" s="110" t="str">
        <f t="shared" si="2"/>
        <v>2020</v>
      </c>
      <c r="H3" s="109">
        <f t="shared" si="3"/>
        <v>43950</v>
      </c>
      <c r="I3" s="106">
        <v>43719</v>
      </c>
      <c r="J3" s="106">
        <v>43782</v>
      </c>
      <c r="K3" s="106">
        <v>43843</v>
      </c>
      <c r="L3" s="14">
        <v>9</v>
      </c>
      <c r="N3" s="106" t="s">
        <v>339</v>
      </c>
    </row>
    <row r="4" spans="1:14" ht="18" thickBot="1" x14ac:dyDescent="0.3">
      <c r="A4" s="148">
        <v>8</v>
      </c>
      <c r="B4" s="161" t="s">
        <v>713</v>
      </c>
      <c r="C4" s="112"/>
      <c r="D4" s="112"/>
      <c r="E4" s="111">
        <f t="shared" si="0"/>
        <v>30</v>
      </c>
      <c r="F4" s="110" t="str">
        <f t="shared" si="1"/>
        <v xml:space="preserve"> Abril</v>
      </c>
      <c r="G4" s="110" t="str">
        <f t="shared" si="2"/>
        <v>2020</v>
      </c>
      <c r="H4" s="109">
        <f t="shared" si="3"/>
        <v>43951</v>
      </c>
      <c r="I4" s="106">
        <v>43720</v>
      </c>
      <c r="J4" s="106">
        <v>43783</v>
      </c>
      <c r="K4" s="106">
        <v>43844</v>
      </c>
      <c r="L4" s="14">
        <v>8</v>
      </c>
      <c r="N4" s="106" t="s">
        <v>340</v>
      </c>
    </row>
    <row r="5" spans="1:14" ht="18" thickBot="1" x14ac:dyDescent="0.3">
      <c r="A5" s="148">
        <v>7</v>
      </c>
      <c r="B5" s="161" t="s">
        <v>714</v>
      </c>
      <c r="C5" s="112"/>
      <c r="D5" s="112"/>
      <c r="E5" s="111">
        <f t="shared" si="0"/>
        <v>4</v>
      </c>
      <c r="F5" s="110" t="str">
        <f t="shared" si="1"/>
        <v xml:space="preserve"> Mayo</v>
      </c>
      <c r="G5" s="110" t="str">
        <f t="shared" si="2"/>
        <v>2020</v>
      </c>
      <c r="H5" s="109">
        <f t="shared" si="3"/>
        <v>43955</v>
      </c>
      <c r="I5" s="106">
        <v>43721</v>
      </c>
      <c r="J5" s="106">
        <v>43784</v>
      </c>
      <c r="K5" s="106">
        <v>43845</v>
      </c>
      <c r="L5" s="14">
        <v>7</v>
      </c>
      <c r="N5" s="106" t="s">
        <v>341</v>
      </c>
    </row>
    <row r="6" spans="1:14" ht="18" thickBot="1" x14ac:dyDescent="0.3">
      <c r="A6" s="148">
        <v>6</v>
      </c>
      <c r="B6" s="161" t="s">
        <v>715</v>
      </c>
      <c r="C6" s="112"/>
      <c r="D6" s="112"/>
      <c r="E6" s="111">
        <f t="shared" si="0"/>
        <v>5</v>
      </c>
      <c r="F6" s="110" t="str">
        <f t="shared" si="1"/>
        <v xml:space="preserve"> Mayo</v>
      </c>
      <c r="G6" s="110" t="str">
        <f t="shared" si="2"/>
        <v>2020</v>
      </c>
      <c r="H6" s="109">
        <f t="shared" si="3"/>
        <v>43956</v>
      </c>
      <c r="I6" s="106">
        <v>43724</v>
      </c>
      <c r="J6" s="106">
        <v>43787</v>
      </c>
      <c r="K6" s="106">
        <v>43846</v>
      </c>
      <c r="L6" s="14">
        <v>6</v>
      </c>
      <c r="N6" s="106" t="s">
        <v>342</v>
      </c>
    </row>
    <row r="7" spans="1:14" ht="18" thickBot="1" x14ac:dyDescent="0.3">
      <c r="A7" s="148">
        <v>5</v>
      </c>
      <c r="B7" s="161" t="s">
        <v>716</v>
      </c>
      <c r="C7" s="112"/>
      <c r="D7" s="112"/>
      <c r="E7" s="111">
        <f t="shared" si="0"/>
        <v>6</v>
      </c>
      <c r="F7" s="110" t="str">
        <f t="shared" si="1"/>
        <v xml:space="preserve"> Mayo</v>
      </c>
      <c r="G7" s="110" t="str">
        <f t="shared" si="2"/>
        <v>2020</v>
      </c>
      <c r="H7" s="109">
        <f t="shared" si="3"/>
        <v>43957</v>
      </c>
      <c r="I7" s="106">
        <v>43725</v>
      </c>
      <c r="J7" s="106">
        <v>43788</v>
      </c>
      <c r="K7" s="106">
        <v>43847</v>
      </c>
      <c r="L7" s="14">
        <v>5</v>
      </c>
      <c r="N7" s="106" t="s">
        <v>343</v>
      </c>
    </row>
    <row r="8" spans="1:14" ht="18" thickBot="1" x14ac:dyDescent="0.3">
      <c r="A8" s="148">
        <v>4</v>
      </c>
      <c r="B8" s="161" t="s">
        <v>717</v>
      </c>
      <c r="C8" s="112"/>
      <c r="D8" s="112"/>
      <c r="E8" s="111">
        <f t="shared" si="0"/>
        <v>7</v>
      </c>
      <c r="F8" s="110" t="str">
        <f t="shared" si="1"/>
        <v xml:space="preserve"> Mayo</v>
      </c>
      <c r="G8" s="110" t="str">
        <f t="shared" si="2"/>
        <v>2020</v>
      </c>
      <c r="H8" s="109">
        <f t="shared" si="3"/>
        <v>43958</v>
      </c>
      <c r="I8" s="106">
        <v>43726</v>
      </c>
      <c r="J8" s="106">
        <v>43789</v>
      </c>
      <c r="K8" s="106">
        <v>43850</v>
      </c>
      <c r="L8" s="14">
        <v>4</v>
      </c>
      <c r="N8" s="106" t="s">
        <v>344</v>
      </c>
    </row>
    <row r="9" spans="1:14" ht="18" thickBot="1" x14ac:dyDescent="0.3">
      <c r="A9" s="148">
        <v>3</v>
      </c>
      <c r="B9" s="161" t="s">
        <v>718</v>
      </c>
      <c r="C9" s="112"/>
      <c r="D9" s="112"/>
      <c r="E9" s="111">
        <f t="shared" si="0"/>
        <v>8</v>
      </c>
      <c r="F9" s="110" t="str">
        <f t="shared" si="1"/>
        <v xml:space="preserve"> Mayo</v>
      </c>
      <c r="G9" s="110" t="str">
        <f t="shared" si="2"/>
        <v>2020</v>
      </c>
      <c r="H9" s="109">
        <f t="shared" si="3"/>
        <v>43959</v>
      </c>
      <c r="I9" s="106">
        <v>43727</v>
      </c>
      <c r="J9" s="106">
        <v>43790</v>
      </c>
      <c r="K9" s="106">
        <v>43851</v>
      </c>
      <c r="L9" s="14">
        <v>3</v>
      </c>
      <c r="N9" s="106" t="s">
        <v>345</v>
      </c>
    </row>
    <row r="10" spans="1:14" ht="18" thickBot="1" x14ac:dyDescent="0.3">
      <c r="A10" s="148">
        <v>2</v>
      </c>
      <c r="B10" s="161" t="s">
        <v>719</v>
      </c>
      <c r="C10" s="112"/>
      <c r="D10" s="112"/>
      <c r="E10" s="111">
        <f t="shared" si="0"/>
        <v>11</v>
      </c>
      <c r="F10" s="110" t="str">
        <f t="shared" si="1"/>
        <v xml:space="preserve"> Mayo</v>
      </c>
      <c r="G10" s="110" t="str">
        <f t="shared" si="2"/>
        <v>2020</v>
      </c>
      <c r="H10" s="109">
        <f t="shared" si="3"/>
        <v>43962</v>
      </c>
      <c r="I10" s="106">
        <v>43728</v>
      </c>
      <c r="J10" s="106">
        <v>43791</v>
      </c>
      <c r="K10" s="106">
        <v>43852</v>
      </c>
      <c r="L10" s="14">
        <v>2</v>
      </c>
      <c r="N10" s="106" t="s">
        <v>346</v>
      </c>
    </row>
    <row r="11" spans="1:14" ht="17.25" x14ac:dyDescent="0.25">
      <c r="A11" s="152">
        <v>1</v>
      </c>
      <c r="B11" s="161" t="s">
        <v>720</v>
      </c>
      <c r="C11" s="112"/>
      <c r="D11" s="112"/>
      <c r="E11" s="143">
        <f t="shared" si="0"/>
        <v>12</v>
      </c>
      <c r="F11" s="144" t="str">
        <f t="shared" si="1"/>
        <v xml:space="preserve"> Mayo</v>
      </c>
      <c r="G11" s="144" t="str">
        <f t="shared" si="2"/>
        <v>2020</v>
      </c>
      <c r="H11" s="145">
        <f t="shared" si="3"/>
        <v>43963</v>
      </c>
      <c r="I11" s="106">
        <v>43731</v>
      </c>
      <c r="J11" s="106">
        <v>43794</v>
      </c>
      <c r="K11" s="106">
        <v>43853</v>
      </c>
      <c r="L11" s="14">
        <v>1</v>
      </c>
      <c r="N11" s="106" t="s">
        <v>347</v>
      </c>
    </row>
    <row r="12" spans="1:14" s="161" customFormat="1" ht="18" thickBot="1" x14ac:dyDescent="0.3">
      <c r="A12" s="173"/>
      <c r="B12" s="14"/>
      <c r="C12" s="112"/>
      <c r="D12" s="112"/>
      <c r="E12" s="112"/>
      <c r="F12" s="112"/>
      <c r="G12" s="112"/>
      <c r="H12" s="112"/>
      <c r="L12" s="14"/>
    </row>
    <row r="13" spans="1:14" ht="69.75" thickBot="1" x14ac:dyDescent="0.3">
      <c r="A13" s="123" t="s">
        <v>308</v>
      </c>
      <c r="B13" s="151" t="s">
        <v>295</v>
      </c>
      <c r="C13" s="112"/>
      <c r="D13" s="112"/>
      <c r="E13" s="111">
        <f t="shared" ref="E13:E22" si="4">+VALUE(LEFT(B13,2))</f>
        <v>3</v>
      </c>
      <c r="F13" s="110" t="str">
        <f t="shared" ref="F13:F22" si="5">MID(B13,FIND(" de ",B13)+3,FIND(" de ",B13,FIND(" de ",B13)+3)-FIND(" de ",B13)-3)</f>
        <v xml:space="preserve"> Mayo</v>
      </c>
      <c r="G13" s="110" t="str">
        <f t="shared" ref="G13:G22" si="6">+MID(B13,FIND(" de 2",B13)+4,5)</f>
        <v>2017</v>
      </c>
      <c r="H13" s="109">
        <f t="shared" ref="H13:H22" si="7">DATEVALUE(E13&amp;"/"&amp;F13&amp;"/"&amp;G13)</f>
        <v>42858</v>
      </c>
    </row>
    <row r="14" spans="1:14" ht="69.75" thickBot="1" x14ac:dyDescent="0.3">
      <c r="A14" s="123" t="s">
        <v>309</v>
      </c>
      <c r="B14" s="151" t="s">
        <v>296</v>
      </c>
      <c r="C14" s="112"/>
      <c r="D14" s="112"/>
      <c r="E14" s="111">
        <f t="shared" si="4"/>
        <v>4</v>
      </c>
      <c r="F14" s="110" t="str">
        <f t="shared" si="5"/>
        <v xml:space="preserve"> Mayo</v>
      </c>
      <c r="G14" s="110" t="str">
        <f t="shared" si="6"/>
        <v>2017</v>
      </c>
      <c r="H14" s="109">
        <f t="shared" si="7"/>
        <v>42859</v>
      </c>
    </row>
    <row r="15" spans="1:14" ht="69.75" thickBot="1" x14ac:dyDescent="0.3">
      <c r="A15" s="123" t="s">
        <v>310</v>
      </c>
      <c r="B15" s="151" t="s">
        <v>297</v>
      </c>
      <c r="C15" s="112"/>
      <c r="D15" s="112"/>
      <c r="E15" s="111">
        <f t="shared" si="4"/>
        <v>5</v>
      </c>
      <c r="F15" s="110" t="str">
        <f t="shared" si="5"/>
        <v xml:space="preserve"> Mayo</v>
      </c>
      <c r="G15" s="110" t="str">
        <f t="shared" si="6"/>
        <v>2017</v>
      </c>
      <c r="H15" s="109">
        <f t="shared" si="7"/>
        <v>42860</v>
      </c>
    </row>
    <row r="16" spans="1:14" ht="69.75" thickBot="1" x14ac:dyDescent="0.3">
      <c r="A16" s="123" t="s">
        <v>311</v>
      </c>
      <c r="B16" s="151" t="s">
        <v>298</v>
      </c>
      <c r="C16" s="112"/>
      <c r="D16" s="112"/>
      <c r="E16" s="111">
        <f t="shared" si="4"/>
        <v>8</v>
      </c>
      <c r="F16" s="110" t="str">
        <f t="shared" si="5"/>
        <v xml:space="preserve"> Mayo</v>
      </c>
      <c r="G16" s="110" t="str">
        <f t="shared" si="6"/>
        <v>2017</v>
      </c>
      <c r="H16" s="109">
        <f t="shared" si="7"/>
        <v>42863</v>
      </c>
    </row>
    <row r="17" spans="1:8" ht="69.75" thickBot="1" x14ac:dyDescent="0.3">
      <c r="A17" s="123" t="s">
        <v>312</v>
      </c>
      <c r="B17" s="151" t="s">
        <v>299</v>
      </c>
      <c r="C17" s="112"/>
      <c r="D17" s="112"/>
      <c r="E17" s="111">
        <f t="shared" si="4"/>
        <v>9</v>
      </c>
      <c r="F17" s="110" t="str">
        <f t="shared" si="5"/>
        <v xml:space="preserve"> Mayo</v>
      </c>
      <c r="G17" s="110" t="str">
        <f t="shared" si="6"/>
        <v>2017</v>
      </c>
      <c r="H17" s="109">
        <f t="shared" si="7"/>
        <v>42864</v>
      </c>
    </row>
    <row r="18" spans="1:8" ht="69.75" thickBot="1" x14ac:dyDescent="0.3">
      <c r="A18" s="123" t="s">
        <v>313</v>
      </c>
      <c r="B18" s="151" t="s">
        <v>300</v>
      </c>
      <c r="C18" s="112"/>
      <c r="D18" s="112"/>
      <c r="E18" s="111">
        <f t="shared" si="4"/>
        <v>10</v>
      </c>
      <c r="F18" s="110" t="str">
        <f t="shared" si="5"/>
        <v xml:space="preserve"> Mayo</v>
      </c>
      <c r="G18" s="110" t="str">
        <f t="shared" si="6"/>
        <v>2017</v>
      </c>
      <c r="H18" s="109">
        <f t="shared" si="7"/>
        <v>42865</v>
      </c>
    </row>
    <row r="19" spans="1:8" ht="69.75" thickBot="1" x14ac:dyDescent="0.3">
      <c r="A19" s="123" t="s">
        <v>314</v>
      </c>
      <c r="B19" s="151" t="s">
        <v>301</v>
      </c>
      <c r="C19" s="112"/>
      <c r="D19" s="112"/>
      <c r="E19" s="111">
        <f t="shared" si="4"/>
        <v>11</v>
      </c>
      <c r="F19" s="110" t="str">
        <f t="shared" si="5"/>
        <v xml:space="preserve"> Mayo</v>
      </c>
      <c r="G19" s="110" t="str">
        <f t="shared" si="6"/>
        <v>2017</v>
      </c>
      <c r="H19" s="109">
        <f t="shared" si="7"/>
        <v>42866</v>
      </c>
    </row>
    <row r="20" spans="1:8" ht="69.75" thickBot="1" x14ac:dyDescent="0.3">
      <c r="A20" s="123" t="s">
        <v>315</v>
      </c>
      <c r="B20" s="151" t="s">
        <v>302</v>
      </c>
      <c r="C20" s="112"/>
      <c r="D20" s="112"/>
      <c r="E20" s="111">
        <f t="shared" si="4"/>
        <v>12</v>
      </c>
      <c r="F20" s="110" t="str">
        <f t="shared" si="5"/>
        <v xml:space="preserve"> Mayo</v>
      </c>
      <c r="G20" s="110" t="str">
        <f t="shared" si="6"/>
        <v>2017</v>
      </c>
      <c r="H20" s="109">
        <f t="shared" si="7"/>
        <v>42867</v>
      </c>
    </row>
    <row r="21" spans="1:8" ht="69.75" thickBot="1" x14ac:dyDescent="0.3">
      <c r="A21" s="123" t="s">
        <v>316</v>
      </c>
      <c r="B21" s="151" t="s">
        <v>303</v>
      </c>
      <c r="C21" s="112"/>
      <c r="D21" s="112"/>
      <c r="E21" s="111">
        <f t="shared" si="4"/>
        <v>15</v>
      </c>
      <c r="F21" s="110" t="str">
        <f t="shared" si="5"/>
        <v xml:space="preserve"> Mayo</v>
      </c>
      <c r="G21" s="110" t="str">
        <f t="shared" si="6"/>
        <v>2017</v>
      </c>
      <c r="H21" s="109">
        <f t="shared" si="7"/>
        <v>42870</v>
      </c>
    </row>
    <row r="22" spans="1:8" ht="69" x14ac:dyDescent="0.25">
      <c r="A22" s="123" t="s">
        <v>317</v>
      </c>
      <c r="B22" s="153" t="s">
        <v>304</v>
      </c>
      <c r="C22" s="112"/>
      <c r="D22" s="112"/>
      <c r="E22" s="111">
        <f t="shared" si="4"/>
        <v>16</v>
      </c>
      <c r="F22" s="110" t="str">
        <f t="shared" si="5"/>
        <v xml:space="preserve"> Mayo</v>
      </c>
      <c r="G22" s="110" t="str">
        <f t="shared" si="6"/>
        <v>2017</v>
      </c>
      <c r="H22" s="109">
        <f t="shared" si="7"/>
        <v>42871</v>
      </c>
    </row>
    <row r="23" spans="1:8" ht="18" thickBot="1" x14ac:dyDescent="0.3">
      <c r="A23" s="123"/>
      <c r="B23" s="115" t="s">
        <v>332</v>
      </c>
      <c r="C23" s="112"/>
      <c r="D23" s="112"/>
      <c r="E23" s="111">
        <f t="shared" ref="E23:E52" si="8">+VALUE(LEFT(B23,2))</f>
        <v>7</v>
      </c>
      <c r="F23" s="110" t="str">
        <f t="shared" ref="F23:F52" si="9">MID(B23,FIND(" de ",B23)+3,FIND(" de ",B23,FIND(" de ",B23)+3)-FIND(" de ",B23)-3)</f>
        <v xml:space="preserve"> mayo</v>
      </c>
      <c r="G23" s="110" t="str">
        <f t="shared" ref="G23:G52" si="10">+MID(B23,FIND(" de 2",B23)+4,5)</f>
        <v>2018</v>
      </c>
      <c r="H23" s="109">
        <f t="shared" ref="H23:H52" si="11">DATEVALUE(E23&amp;"/"&amp;F23&amp;"/"&amp;G23)</f>
        <v>43227</v>
      </c>
    </row>
    <row r="24" spans="1:8" ht="18" thickBot="1" x14ac:dyDescent="0.3">
      <c r="A24" s="123"/>
      <c r="B24" s="115" t="s">
        <v>333</v>
      </c>
      <c r="C24" s="112"/>
      <c r="D24" s="112"/>
      <c r="E24" s="111">
        <f t="shared" si="8"/>
        <v>8</v>
      </c>
      <c r="F24" s="110" t="str">
        <f t="shared" si="9"/>
        <v xml:space="preserve"> mayo</v>
      </c>
      <c r="G24" s="110" t="str">
        <f t="shared" si="10"/>
        <v>2018</v>
      </c>
      <c r="H24" s="109">
        <f t="shared" si="11"/>
        <v>43228</v>
      </c>
    </row>
    <row r="25" spans="1:8" ht="18" thickBot="1" x14ac:dyDescent="0.3">
      <c r="A25" s="123"/>
      <c r="B25" s="115" t="s">
        <v>362</v>
      </c>
      <c r="C25" s="112"/>
      <c r="D25" s="112"/>
      <c r="E25" s="111">
        <f t="shared" si="8"/>
        <v>9</v>
      </c>
      <c r="F25" s="110" t="str">
        <f t="shared" si="9"/>
        <v xml:space="preserve"> mayo</v>
      </c>
      <c r="G25" s="110" t="str">
        <f t="shared" si="10"/>
        <v>2018</v>
      </c>
      <c r="H25" s="109">
        <f t="shared" si="11"/>
        <v>43229</v>
      </c>
    </row>
    <row r="26" spans="1:8" ht="18" thickBot="1" x14ac:dyDescent="0.3">
      <c r="A26" s="123"/>
      <c r="B26" s="115" t="s">
        <v>363</v>
      </c>
      <c r="C26" s="112"/>
      <c r="D26" s="112"/>
      <c r="E26" s="111">
        <f t="shared" si="8"/>
        <v>10</v>
      </c>
      <c r="F26" s="110" t="str">
        <f t="shared" si="9"/>
        <v xml:space="preserve"> mayo</v>
      </c>
      <c r="G26" s="110" t="str">
        <f t="shared" si="10"/>
        <v>2018</v>
      </c>
      <c r="H26" s="109">
        <f t="shared" si="11"/>
        <v>43230</v>
      </c>
    </row>
    <row r="27" spans="1:8" ht="18" thickBot="1" x14ac:dyDescent="0.3">
      <c r="A27" s="123"/>
      <c r="B27" s="115" t="s">
        <v>364</v>
      </c>
      <c r="C27" s="112"/>
      <c r="D27" s="112"/>
      <c r="E27" s="111">
        <f t="shared" si="8"/>
        <v>11</v>
      </c>
      <c r="F27" s="110" t="str">
        <f t="shared" si="9"/>
        <v xml:space="preserve"> mayo</v>
      </c>
      <c r="G27" s="110" t="str">
        <f t="shared" si="10"/>
        <v>2018</v>
      </c>
      <c r="H27" s="109">
        <f t="shared" si="11"/>
        <v>43231</v>
      </c>
    </row>
    <row r="28" spans="1:8" ht="18" thickBot="1" x14ac:dyDescent="0.3">
      <c r="A28" s="123"/>
      <c r="B28" s="115" t="s">
        <v>365</v>
      </c>
      <c r="C28" s="112"/>
      <c r="D28" s="112"/>
      <c r="E28" s="111">
        <f t="shared" si="8"/>
        <v>15</v>
      </c>
      <c r="F28" s="110" t="str">
        <f t="shared" si="9"/>
        <v xml:space="preserve"> mayo</v>
      </c>
      <c r="G28" s="110" t="str">
        <f t="shared" si="10"/>
        <v>2018</v>
      </c>
      <c r="H28" s="109">
        <f t="shared" si="11"/>
        <v>43235</v>
      </c>
    </row>
    <row r="29" spans="1:8" ht="18" thickBot="1" x14ac:dyDescent="0.3">
      <c r="A29" s="123"/>
      <c r="B29" s="115" t="s">
        <v>366</v>
      </c>
      <c r="C29" s="112"/>
      <c r="D29" s="112"/>
      <c r="E29" s="111">
        <f t="shared" si="8"/>
        <v>16</v>
      </c>
      <c r="F29" s="110" t="str">
        <f t="shared" si="9"/>
        <v xml:space="preserve"> mayo</v>
      </c>
      <c r="G29" s="110" t="str">
        <f t="shared" si="10"/>
        <v>2018</v>
      </c>
      <c r="H29" s="109">
        <f t="shared" si="11"/>
        <v>43236</v>
      </c>
    </row>
    <row r="30" spans="1:8" ht="18" thickBot="1" x14ac:dyDescent="0.3">
      <c r="A30" s="123"/>
      <c r="B30" s="115" t="s">
        <v>319</v>
      </c>
      <c r="C30" s="112"/>
      <c r="D30" s="112"/>
      <c r="E30" s="111">
        <f t="shared" si="8"/>
        <v>17</v>
      </c>
      <c r="F30" s="110" t="str">
        <f t="shared" si="9"/>
        <v xml:space="preserve"> abril</v>
      </c>
      <c r="G30" s="110" t="str">
        <f t="shared" si="10"/>
        <v>2018</v>
      </c>
      <c r="H30" s="109">
        <f t="shared" si="11"/>
        <v>43207</v>
      </c>
    </row>
    <row r="31" spans="1:8" ht="18" thickBot="1" x14ac:dyDescent="0.3">
      <c r="A31" s="123"/>
      <c r="B31" s="115" t="s">
        <v>321</v>
      </c>
      <c r="C31" s="112"/>
      <c r="D31" s="112"/>
      <c r="E31" s="111">
        <f t="shared" si="8"/>
        <v>18</v>
      </c>
      <c r="F31" s="110" t="str">
        <f t="shared" si="9"/>
        <v xml:space="preserve"> abril</v>
      </c>
      <c r="G31" s="110" t="str">
        <f t="shared" si="10"/>
        <v>2018</v>
      </c>
      <c r="H31" s="109">
        <f t="shared" si="11"/>
        <v>43208</v>
      </c>
    </row>
    <row r="32" spans="1:8" ht="18" thickBot="1" x14ac:dyDescent="0.3">
      <c r="A32" s="123"/>
      <c r="B32" s="115" t="s">
        <v>322</v>
      </c>
      <c r="C32" s="112"/>
      <c r="D32" s="112"/>
      <c r="E32" s="111">
        <f t="shared" si="8"/>
        <v>19</v>
      </c>
      <c r="F32" s="110" t="str">
        <f t="shared" si="9"/>
        <v xml:space="preserve"> abril</v>
      </c>
      <c r="G32" s="110" t="str">
        <f t="shared" si="10"/>
        <v>2018</v>
      </c>
      <c r="H32" s="109">
        <f t="shared" si="11"/>
        <v>43209</v>
      </c>
    </row>
    <row r="33" spans="1:8" ht="18" thickBot="1" x14ac:dyDescent="0.3">
      <c r="A33" s="123"/>
      <c r="B33" s="115" t="s">
        <v>320</v>
      </c>
      <c r="C33" s="112"/>
      <c r="D33" s="112"/>
      <c r="E33" s="111">
        <f t="shared" si="8"/>
        <v>20</v>
      </c>
      <c r="F33" s="110" t="str">
        <f t="shared" si="9"/>
        <v xml:space="preserve"> abril</v>
      </c>
      <c r="G33" s="110" t="str">
        <f t="shared" si="10"/>
        <v>2018</v>
      </c>
      <c r="H33" s="109">
        <f t="shared" si="11"/>
        <v>43210</v>
      </c>
    </row>
    <row r="34" spans="1:8" ht="18" thickBot="1" x14ac:dyDescent="0.3">
      <c r="A34" s="123"/>
      <c r="B34" s="115" t="s">
        <v>323</v>
      </c>
      <c r="C34" s="112"/>
      <c r="D34" s="112"/>
      <c r="E34" s="111">
        <f t="shared" si="8"/>
        <v>23</v>
      </c>
      <c r="F34" s="110" t="str">
        <f t="shared" si="9"/>
        <v xml:space="preserve"> abril</v>
      </c>
      <c r="G34" s="110" t="str">
        <f t="shared" si="10"/>
        <v>2018</v>
      </c>
      <c r="H34" s="109">
        <f t="shared" si="11"/>
        <v>43213</v>
      </c>
    </row>
    <row r="35" spans="1:8" ht="18" thickBot="1" x14ac:dyDescent="0.3">
      <c r="A35" s="123"/>
      <c r="B35" s="115" t="s">
        <v>324</v>
      </c>
      <c r="C35" s="112"/>
      <c r="D35" s="112"/>
      <c r="E35" s="111">
        <f t="shared" si="8"/>
        <v>24</v>
      </c>
      <c r="F35" s="110" t="str">
        <f t="shared" si="9"/>
        <v xml:space="preserve"> abril</v>
      </c>
      <c r="G35" s="110" t="str">
        <f t="shared" si="10"/>
        <v>2018</v>
      </c>
      <c r="H35" s="109">
        <f t="shared" si="11"/>
        <v>43214</v>
      </c>
    </row>
    <row r="36" spans="1:8" ht="18" thickBot="1" x14ac:dyDescent="0.3">
      <c r="A36" s="123"/>
      <c r="B36" s="115" t="s">
        <v>325</v>
      </c>
      <c r="C36" s="112"/>
      <c r="D36" s="112"/>
      <c r="E36" s="111">
        <f t="shared" si="8"/>
        <v>25</v>
      </c>
      <c r="F36" s="110" t="str">
        <f t="shared" si="9"/>
        <v xml:space="preserve"> abril</v>
      </c>
      <c r="G36" s="110" t="str">
        <f t="shared" si="10"/>
        <v>2018</v>
      </c>
      <c r="H36" s="109">
        <f t="shared" si="11"/>
        <v>43215</v>
      </c>
    </row>
    <row r="37" spans="1:8" ht="18" thickBot="1" x14ac:dyDescent="0.3">
      <c r="A37" s="123"/>
      <c r="B37" s="115" t="s">
        <v>326</v>
      </c>
      <c r="C37" s="112"/>
      <c r="D37" s="112"/>
      <c r="E37" s="111">
        <f t="shared" si="8"/>
        <v>26</v>
      </c>
      <c r="F37" s="110" t="str">
        <f t="shared" si="9"/>
        <v xml:space="preserve"> abril</v>
      </c>
      <c r="G37" s="110" t="str">
        <f t="shared" si="10"/>
        <v>2018</v>
      </c>
      <c r="H37" s="109">
        <f t="shared" si="11"/>
        <v>43216</v>
      </c>
    </row>
    <row r="38" spans="1:8" ht="18" thickBot="1" x14ac:dyDescent="0.3">
      <c r="A38" s="123"/>
      <c r="B38" s="115" t="s">
        <v>327</v>
      </c>
      <c r="C38" s="112"/>
      <c r="D38" s="112"/>
      <c r="E38" s="111">
        <f t="shared" si="8"/>
        <v>27</v>
      </c>
      <c r="F38" s="110" t="str">
        <f t="shared" si="9"/>
        <v xml:space="preserve"> abril</v>
      </c>
      <c r="G38" s="110" t="str">
        <f t="shared" si="10"/>
        <v>2018</v>
      </c>
      <c r="H38" s="109">
        <f t="shared" si="11"/>
        <v>43217</v>
      </c>
    </row>
    <row r="39" spans="1:8" ht="18" thickBot="1" x14ac:dyDescent="0.3">
      <c r="A39" s="123"/>
      <c r="B39" s="115" t="s">
        <v>328</v>
      </c>
      <c r="C39" s="112"/>
      <c r="D39" s="112"/>
      <c r="E39" s="111">
        <f t="shared" si="8"/>
        <v>30</v>
      </c>
      <c r="F39" s="110" t="str">
        <f t="shared" si="9"/>
        <v xml:space="preserve"> abril</v>
      </c>
      <c r="G39" s="110" t="str">
        <f t="shared" si="10"/>
        <v>2018</v>
      </c>
      <c r="H39" s="109">
        <f t="shared" si="11"/>
        <v>43220</v>
      </c>
    </row>
    <row r="40" spans="1:8" ht="18" thickBot="1" x14ac:dyDescent="0.3">
      <c r="A40" s="123"/>
      <c r="B40" s="115" t="s">
        <v>329</v>
      </c>
      <c r="C40" s="112"/>
      <c r="D40" s="112"/>
      <c r="E40" s="111">
        <f t="shared" si="8"/>
        <v>2</v>
      </c>
      <c r="F40" s="110" t="str">
        <f t="shared" si="9"/>
        <v xml:space="preserve"> mayo</v>
      </c>
      <c r="G40" s="110" t="str">
        <f t="shared" si="10"/>
        <v>2018</v>
      </c>
      <c r="H40" s="109">
        <f t="shared" si="11"/>
        <v>43222</v>
      </c>
    </row>
    <row r="41" spans="1:8" ht="18" thickBot="1" x14ac:dyDescent="0.3">
      <c r="A41" s="123"/>
      <c r="B41" s="115" t="s">
        <v>330</v>
      </c>
      <c r="C41" s="112"/>
      <c r="D41" s="112"/>
      <c r="E41" s="111">
        <f t="shared" si="8"/>
        <v>3</v>
      </c>
      <c r="F41" s="110" t="str">
        <f t="shared" si="9"/>
        <v xml:space="preserve"> mayo</v>
      </c>
      <c r="G41" s="110" t="str">
        <f t="shared" si="10"/>
        <v>2018</v>
      </c>
      <c r="H41" s="109">
        <f t="shared" si="11"/>
        <v>43223</v>
      </c>
    </row>
    <row r="42" spans="1:8" ht="18" thickBot="1" x14ac:dyDescent="0.3">
      <c r="A42" s="123"/>
      <c r="B42" s="115" t="s">
        <v>331</v>
      </c>
      <c r="C42" s="112"/>
      <c r="D42" s="112"/>
      <c r="E42" s="111">
        <f t="shared" si="8"/>
        <v>4</v>
      </c>
      <c r="F42" s="110" t="str">
        <f t="shared" si="9"/>
        <v xml:space="preserve"> mayo</v>
      </c>
      <c r="G42" s="110" t="str">
        <f t="shared" si="10"/>
        <v>2018</v>
      </c>
      <c r="H42" s="109">
        <f t="shared" si="11"/>
        <v>43224</v>
      </c>
    </row>
    <row r="43" spans="1:8" ht="18" thickBot="1" x14ac:dyDescent="0.3">
      <c r="A43" s="123"/>
      <c r="B43" s="115" t="s">
        <v>331</v>
      </c>
      <c r="C43" s="112"/>
      <c r="D43" s="112"/>
      <c r="E43" s="111">
        <f t="shared" si="8"/>
        <v>4</v>
      </c>
      <c r="F43" s="110" t="str">
        <f t="shared" si="9"/>
        <v xml:space="preserve"> mayo</v>
      </c>
      <c r="G43" s="110" t="str">
        <f t="shared" si="10"/>
        <v>2018</v>
      </c>
      <c r="H43" s="109">
        <f t="shared" si="11"/>
        <v>43224</v>
      </c>
    </row>
    <row r="44" spans="1:8" ht="18" thickBot="1" x14ac:dyDescent="0.3">
      <c r="A44" s="123"/>
      <c r="B44" s="115" t="s">
        <v>257</v>
      </c>
      <c r="C44" s="112"/>
      <c r="D44" s="112"/>
      <c r="E44" s="111">
        <f t="shared" si="8"/>
        <v>6</v>
      </c>
      <c r="F44" s="110" t="str">
        <f t="shared" si="9"/>
        <v xml:space="preserve"> octubre</v>
      </c>
      <c r="G44" s="110" t="str">
        <f t="shared" si="10"/>
        <v>2017</v>
      </c>
      <c r="H44" s="109">
        <f t="shared" si="11"/>
        <v>43014</v>
      </c>
    </row>
    <row r="45" spans="1:8" ht="18" thickBot="1" x14ac:dyDescent="0.3">
      <c r="A45" s="123"/>
      <c r="B45" s="115" t="s">
        <v>258</v>
      </c>
      <c r="C45" s="112"/>
      <c r="D45" s="112"/>
      <c r="E45" s="111">
        <f t="shared" si="8"/>
        <v>9</v>
      </c>
      <c r="F45" s="110" t="str">
        <f t="shared" si="9"/>
        <v xml:space="preserve"> octubre</v>
      </c>
      <c r="G45" s="110" t="str">
        <f t="shared" si="10"/>
        <v>2017</v>
      </c>
      <c r="H45" s="109">
        <f t="shared" si="11"/>
        <v>43017</v>
      </c>
    </row>
    <row r="46" spans="1:8" ht="18" thickBot="1" x14ac:dyDescent="0.3">
      <c r="A46" s="123"/>
      <c r="B46" s="115" t="s">
        <v>259</v>
      </c>
      <c r="C46" s="112"/>
      <c r="D46" s="112"/>
      <c r="E46" s="111">
        <f t="shared" si="8"/>
        <v>10</v>
      </c>
      <c r="F46" s="110" t="str">
        <f t="shared" si="9"/>
        <v xml:space="preserve"> octubre</v>
      </c>
      <c r="G46" s="110" t="str">
        <f t="shared" si="10"/>
        <v>2017</v>
      </c>
      <c r="H46" s="109">
        <f t="shared" si="11"/>
        <v>43018</v>
      </c>
    </row>
    <row r="47" spans="1:8" ht="18" thickBot="1" x14ac:dyDescent="0.3">
      <c r="A47" s="123"/>
      <c r="B47" s="115" t="s">
        <v>260</v>
      </c>
      <c r="C47" s="112"/>
      <c r="D47" s="112"/>
      <c r="E47" s="111">
        <f t="shared" si="8"/>
        <v>11</v>
      </c>
      <c r="F47" s="110" t="str">
        <f t="shared" si="9"/>
        <v xml:space="preserve"> octubre</v>
      </c>
      <c r="G47" s="110" t="str">
        <f t="shared" si="10"/>
        <v>2017</v>
      </c>
      <c r="H47" s="109">
        <f t="shared" si="11"/>
        <v>43019</v>
      </c>
    </row>
    <row r="48" spans="1:8" ht="18" thickBot="1" x14ac:dyDescent="0.3">
      <c r="A48" s="123"/>
      <c r="B48" s="115" t="s">
        <v>261</v>
      </c>
      <c r="C48" s="112"/>
      <c r="D48" s="112"/>
      <c r="E48" s="111">
        <f t="shared" si="8"/>
        <v>12</v>
      </c>
      <c r="F48" s="110" t="str">
        <f t="shared" si="9"/>
        <v xml:space="preserve"> octubre</v>
      </c>
      <c r="G48" s="110" t="str">
        <f t="shared" si="10"/>
        <v>2017</v>
      </c>
      <c r="H48" s="109">
        <f t="shared" si="11"/>
        <v>43020</v>
      </c>
    </row>
    <row r="49" spans="1:11" ht="18" thickBot="1" x14ac:dyDescent="0.3">
      <c r="A49" s="123"/>
      <c r="B49" s="115" t="s">
        <v>263</v>
      </c>
      <c r="C49" s="112"/>
      <c r="D49" s="112"/>
      <c r="E49" s="111">
        <f t="shared" si="8"/>
        <v>13</v>
      </c>
      <c r="F49" s="110" t="str">
        <f t="shared" si="9"/>
        <v xml:space="preserve"> octubre</v>
      </c>
      <c r="G49" s="110" t="str">
        <f t="shared" si="10"/>
        <v>2017</v>
      </c>
      <c r="H49" s="109">
        <f t="shared" si="11"/>
        <v>43021</v>
      </c>
    </row>
    <row r="50" spans="1:11" ht="18" thickBot="1" x14ac:dyDescent="0.3">
      <c r="A50" s="123"/>
      <c r="B50" s="115" t="s">
        <v>265</v>
      </c>
      <c r="C50" s="112"/>
      <c r="D50" s="112"/>
      <c r="E50" s="111">
        <f t="shared" si="8"/>
        <v>17</v>
      </c>
      <c r="F50" s="110" t="str">
        <f t="shared" si="9"/>
        <v xml:space="preserve"> octubre</v>
      </c>
      <c r="G50" s="110" t="str">
        <f t="shared" si="10"/>
        <v>2017</v>
      </c>
      <c r="H50" s="109">
        <f t="shared" si="11"/>
        <v>43025</v>
      </c>
    </row>
    <row r="51" spans="1:11" ht="18" thickBot="1" x14ac:dyDescent="0.3">
      <c r="A51" s="123"/>
      <c r="B51" s="115" t="s">
        <v>267</v>
      </c>
      <c r="C51" s="112"/>
      <c r="D51" s="112"/>
      <c r="E51" s="111">
        <f t="shared" si="8"/>
        <v>18</v>
      </c>
      <c r="F51" s="110" t="str">
        <f t="shared" si="9"/>
        <v xml:space="preserve"> octubre</v>
      </c>
      <c r="G51" s="110" t="str">
        <f t="shared" si="10"/>
        <v>2017</v>
      </c>
      <c r="H51" s="109">
        <f t="shared" si="11"/>
        <v>43026</v>
      </c>
    </row>
    <row r="52" spans="1:11" ht="17.25" x14ac:dyDescent="0.25">
      <c r="A52" s="123"/>
      <c r="B52" s="113" t="s">
        <v>269</v>
      </c>
      <c r="C52" s="112"/>
      <c r="D52" s="112"/>
      <c r="E52" s="111">
        <f t="shared" si="8"/>
        <v>19</v>
      </c>
      <c r="F52" s="110" t="str">
        <f t="shared" si="9"/>
        <v xml:space="preserve"> octubre</v>
      </c>
      <c r="G52" s="110" t="str">
        <f t="shared" si="10"/>
        <v>2017</v>
      </c>
      <c r="H52" s="109">
        <f t="shared" si="11"/>
        <v>43027</v>
      </c>
    </row>
    <row r="56" spans="1:11" ht="87.75" thickBot="1" x14ac:dyDescent="0.3">
      <c r="A56" s="121" t="s">
        <v>318</v>
      </c>
      <c r="B56" s="122" t="s">
        <v>205</v>
      </c>
    </row>
    <row r="57" spans="1:11" ht="18" thickBot="1" x14ac:dyDescent="0.3">
      <c r="A57" s="117" t="s">
        <v>219</v>
      </c>
      <c r="B57" s="118" t="s">
        <v>721</v>
      </c>
      <c r="E57" s="111">
        <f>+VALUE(LEFT(B57,2))</f>
        <v>13</v>
      </c>
      <c r="F57" s="110" t="str">
        <f>MID(B57,FIND(" de ",B57)+3,FIND(" de ",B57,FIND(" de ",B57)+3)-FIND(" de ",B57)-3)</f>
        <v xml:space="preserve"> Mayo</v>
      </c>
      <c r="G57" s="110" t="str">
        <f>+MID(B57,FIND(" de 2",B57)+4,5)</f>
        <v>2020</v>
      </c>
      <c r="H57" s="109">
        <f>DATEVALUE(E57&amp;"/"&amp;F57&amp;"/"&amp;G57)</f>
        <v>43964</v>
      </c>
      <c r="I57" s="106" t="str">
        <f t="shared" ref="I57:I76" si="12">+LEFT(A57,2)</f>
        <v>96</v>
      </c>
      <c r="J57" s="106" t="s">
        <v>235</v>
      </c>
      <c r="K57" s="106" t="str">
        <f t="shared" ref="K57:K76" si="13">+RIGHT(A57,2)</f>
        <v>00</v>
      </c>
    </row>
    <row r="58" spans="1:11" ht="18" thickBot="1" x14ac:dyDescent="0.3">
      <c r="A58" s="117" t="s">
        <v>218</v>
      </c>
      <c r="B58" s="118" t="s">
        <v>722</v>
      </c>
      <c r="E58" s="111">
        <f t="shared" ref="E58:E76" si="14">+VALUE(LEFT(B58,2))</f>
        <v>14</v>
      </c>
      <c r="F58" s="110" t="str">
        <f t="shared" ref="F58:F76" si="15">MID(B58,FIND(" de ",B58)+3,FIND(" de ",B58,FIND(" de ",B58)+3)-FIND(" de ",B58)-3)</f>
        <v xml:space="preserve"> Mayo</v>
      </c>
      <c r="G58" s="110" t="str">
        <f t="shared" ref="G58:G76" si="16">+MID(B58,FIND(" de 2",B58)+4,5)</f>
        <v>2020</v>
      </c>
      <c r="H58" s="109">
        <f t="shared" ref="H58:H76" si="17">DATEVALUE(E58&amp;"/"&amp;F58&amp;"/"&amp;G58)</f>
        <v>43965</v>
      </c>
      <c r="I58" s="154" t="str">
        <f t="shared" si="12"/>
        <v>91</v>
      </c>
      <c r="J58" s="106" t="s">
        <v>235</v>
      </c>
      <c r="K58" s="154" t="str">
        <f t="shared" si="13"/>
        <v>95</v>
      </c>
    </row>
    <row r="59" spans="1:11" ht="18" thickBot="1" x14ac:dyDescent="0.3">
      <c r="A59" s="117" t="s">
        <v>217</v>
      </c>
      <c r="B59" s="118" t="s">
        <v>723</v>
      </c>
      <c r="E59" s="111">
        <f t="shared" si="14"/>
        <v>15</v>
      </c>
      <c r="F59" s="110" t="str">
        <f t="shared" si="15"/>
        <v xml:space="preserve"> Mayo</v>
      </c>
      <c r="G59" s="110" t="str">
        <f t="shared" si="16"/>
        <v>2020</v>
      </c>
      <c r="H59" s="109">
        <f t="shared" si="17"/>
        <v>43966</v>
      </c>
      <c r="I59" s="154" t="str">
        <f t="shared" si="12"/>
        <v>86</v>
      </c>
      <c r="J59" s="106" t="s">
        <v>235</v>
      </c>
      <c r="K59" s="154" t="str">
        <f t="shared" si="13"/>
        <v>90</v>
      </c>
    </row>
    <row r="60" spans="1:11" ht="18" thickBot="1" x14ac:dyDescent="0.3">
      <c r="A60" s="117" t="s">
        <v>216</v>
      </c>
      <c r="B60" s="118" t="s">
        <v>724</v>
      </c>
      <c r="E60" s="111">
        <f t="shared" si="14"/>
        <v>18</v>
      </c>
      <c r="F60" s="110" t="str">
        <f t="shared" si="15"/>
        <v xml:space="preserve"> Mayo</v>
      </c>
      <c r="G60" s="110" t="str">
        <f t="shared" si="16"/>
        <v>2020</v>
      </c>
      <c r="H60" s="109">
        <f t="shared" si="17"/>
        <v>43969</v>
      </c>
      <c r="I60" s="154" t="str">
        <f t="shared" si="12"/>
        <v>81</v>
      </c>
      <c r="J60" s="106" t="s">
        <v>235</v>
      </c>
      <c r="K60" s="154" t="str">
        <f t="shared" si="13"/>
        <v>85</v>
      </c>
    </row>
    <row r="61" spans="1:11" ht="18" thickBot="1" x14ac:dyDescent="0.3">
      <c r="A61" s="117" t="s">
        <v>215</v>
      </c>
      <c r="B61" s="118" t="s">
        <v>725</v>
      </c>
      <c r="E61" s="111">
        <f t="shared" si="14"/>
        <v>19</v>
      </c>
      <c r="F61" s="110" t="str">
        <f t="shared" si="15"/>
        <v xml:space="preserve"> Mayo</v>
      </c>
      <c r="G61" s="110" t="str">
        <f t="shared" si="16"/>
        <v>2020</v>
      </c>
      <c r="H61" s="109">
        <f t="shared" si="17"/>
        <v>43970</v>
      </c>
      <c r="I61" s="154" t="str">
        <f t="shared" si="12"/>
        <v>76</v>
      </c>
      <c r="J61" s="106" t="s">
        <v>235</v>
      </c>
      <c r="K61" s="154" t="str">
        <f t="shared" si="13"/>
        <v>80</v>
      </c>
    </row>
    <row r="62" spans="1:11" ht="18" thickBot="1" x14ac:dyDescent="0.3">
      <c r="A62" s="117" t="s">
        <v>214</v>
      </c>
      <c r="B62" s="118" t="s">
        <v>726</v>
      </c>
      <c r="E62" s="111">
        <f t="shared" si="14"/>
        <v>20</v>
      </c>
      <c r="F62" s="110" t="str">
        <f t="shared" si="15"/>
        <v xml:space="preserve"> Mayo</v>
      </c>
      <c r="G62" s="110" t="str">
        <f t="shared" si="16"/>
        <v>2020</v>
      </c>
      <c r="H62" s="109">
        <f t="shared" si="17"/>
        <v>43971</v>
      </c>
      <c r="I62" s="154" t="str">
        <f t="shared" si="12"/>
        <v>71</v>
      </c>
      <c r="J62" s="106" t="s">
        <v>235</v>
      </c>
      <c r="K62" s="154" t="str">
        <f t="shared" si="13"/>
        <v>75</v>
      </c>
    </row>
    <row r="63" spans="1:11" ht="18" thickBot="1" x14ac:dyDescent="0.3">
      <c r="A63" s="117" t="s">
        <v>213</v>
      </c>
      <c r="B63" s="118" t="s">
        <v>727</v>
      </c>
      <c r="E63" s="111">
        <f t="shared" si="14"/>
        <v>21</v>
      </c>
      <c r="F63" s="110" t="str">
        <f t="shared" si="15"/>
        <v xml:space="preserve"> Mayo</v>
      </c>
      <c r="G63" s="110" t="str">
        <f t="shared" si="16"/>
        <v>2020</v>
      </c>
      <c r="H63" s="109">
        <f t="shared" si="17"/>
        <v>43972</v>
      </c>
      <c r="I63" s="154" t="str">
        <f t="shared" si="12"/>
        <v>66</v>
      </c>
      <c r="J63" s="106" t="s">
        <v>235</v>
      </c>
      <c r="K63" s="154" t="str">
        <f t="shared" si="13"/>
        <v>70</v>
      </c>
    </row>
    <row r="64" spans="1:11" ht="18" thickBot="1" x14ac:dyDescent="0.3">
      <c r="A64" s="117" t="s">
        <v>212</v>
      </c>
      <c r="B64" s="118" t="s">
        <v>728</v>
      </c>
      <c r="E64" s="111">
        <f t="shared" si="14"/>
        <v>22</v>
      </c>
      <c r="F64" s="110" t="str">
        <f t="shared" si="15"/>
        <v xml:space="preserve"> Mayo</v>
      </c>
      <c r="G64" s="110" t="str">
        <f t="shared" si="16"/>
        <v>2020</v>
      </c>
      <c r="H64" s="109">
        <f t="shared" si="17"/>
        <v>43973</v>
      </c>
      <c r="I64" s="154" t="str">
        <f t="shared" si="12"/>
        <v>61</v>
      </c>
      <c r="J64" s="106" t="s">
        <v>235</v>
      </c>
      <c r="K64" s="154" t="str">
        <f t="shared" si="13"/>
        <v>65</v>
      </c>
    </row>
    <row r="65" spans="1:14" ht="18" thickBot="1" x14ac:dyDescent="0.3">
      <c r="A65" s="117" t="s">
        <v>211</v>
      </c>
      <c r="B65" s="118" t="s">
        <v>729</v>
      </c>
      <c r="E65" s="111">
        <f t="shared" si="14"/>
        <v>26</v>
      </c>
      <c r="F65" s="110" t="str">
        <f t="shared" si="15"/>
        <v xml:space="preserve"> Mayo</v>
      </c>
      <c r="G65" s="110" t="str">
        <f t="shared" si="16"/>
        <v>2020</v>
      </c>
      <c r="H65" s="109">
        <f t="shared" si="17"/>
        <v>43977</v>
      </c>
      <c r="I65" s="154" t="str">
        <f t="shared" si="12"/>
        <v>56</v>
      </c>
      <c r="J65" s="106" t="s">
        <v>235</v>
      </c>
      <c r="K65" s="154" t="str">
        <f t="shared" si="13"/>
        <v>60</v>
      </c>
    </row>
    <row r="66" spans="1:14" ht="18" thickBot="1" x14ac:dyDescent="0.3">
      <c r="A66" s="117" t="s">
        <v>210</v>
      </c>
      <c r="B66" s="118" t="s">
        <v>730</v>
      </c>
      <c r="E66" s="111">
        <f t="shared" si="14"/>
        <v>27</v>
      </c>
      <c r="F66" s="110" t="str">
        <f t="shared" si="15"/>
        <v xml:space="preserve"> Mayo</v>
      </c>
      <c r="G66" s="110" t="str">
        <f t="shared" si="16"/>
        <v>2020</v>
      </c>
      <c r="H66" s="109">
        <f t="shared" si="17"/>
        <v>43978</v>
      </c>
      <c r="I66" s="154" t="str">
        <f t="shared" si="12"/>
        <v>51</v>
      </c>
      <c r="J66" s="106" t="s">
        <v>235</v>
      </c>
      <c r="K66" s="154" t="str">
        <f t="shared" si="13"/>
        <v>55</v>
      </c>
    </row>
    <row r="67" spans="1:14" ht="18" thickBot="1" x14ac:dyDescent="0.3">
      <c r="A67" s="117" t="s">
        <v>209</v>
      </c>
      <c r="B67" s="118" t="s">
        <v>731</v>
      </c>
      <c r="E67" s="111">
        <f t="shared" si="14"/>
        <v>28</v>
      </c>
      <c r="F67" s="110" t="str">
        <f t="shared" si="15"/>
        <v xml:space="preserve"> Mayo</v>
      </c>
      <c r="G67" s="110" t="str">
        <f t="shared" si="16"/>
        <v>2020</v>
      </c>
      <c r="H67" s="109">
        <f t="shared" si="17"/>
        <v>43979</v>
      </c>
      <c r="I67" s="154" t="str">
        <f t="shared" si="12"/>
        <v>46</v>
      </c>
      <c r="J67" s="106" t="s">
        <v>235</v>
      </c>
      <c r="K67" s="154" t="str">
        <f t="shared" si="13"/>
        <v>50</v>
      </c>
    </row>
    <row r="68" spans="1:14" ht="18" thickBot="1" x14ac:dyDescent="0.3">
      <c r="A68" s="117" t="s">
        <v>208</v>
      </c>
      <c r="B68" s="118" t="s">
        <v>732</v>
      </c>
      <c r="E68" s="111">
        <f t="shared" si="14"/>
        <v>29</v>
      </c>
      <c r="F68" s="110" t="str">
        <f t="shared" si="15"/>
        <v xml:space="preserve"> Mayo</v>
      </c>
      <c r="G68" s="110" t="str">
        <f t="shared" si="16"/>
        <v>2020</v>
      </c>
      <c r="H68" s="109">
        <f t="shared" si="17"/>
        <v>43980</v>
      </c>
      <c r="I68" s="154" t="str">
        <f t="shared" si="12"/>
        <v>41</v>
      </c>
      <c r="J68" s="106" t="s">
        <v>235</v>
      </c>
      <c r="K68" s="154" t="str">
        <f t="shared" si="13"/>
        <v>45</v>
      </c>
    </row>
    <row r="69" spans="1:14" ht="18" thickBot="1" x14ac:dyDescent="0.3">
      <c r="A69" s="117" t="s">
        <v>207</v>
      </c>
      <c r="B69" s="118" t="s">
        <v>733</v>
      </c>
      <c r="E69" s="111">
        <f t="shared" si="14"/>
        <v>1</v>
      </c>
      <c r="F69" s="110" t="str">
        <f t="shared" si="15"/>
        <v xml:space="preserve"> Junio</v>
      </c>
      <c r="G69" s="110" t="str">
        <f t="shared" si="16"/>
        <v>2020</v>
      </c>
      <c r="H69" s="109">
        <f t="shared" si="17"/>
        <v>43983</v>
      </c>
      <c r="I69" s="154" t="str">
        <f t="shared" si="12"/>
        <v>36</v>
      </c>
      <c r="J69" s="106" t="s">
        <v>235</v>
      </c>
      <c r="K69" s="154" t="str">
        <f t="shared" si="13"/>
        <v>40</v>
      </c>
    </row>
    <row r="70" spans="1:14" ht="18" thickBot="1" x14ac:dyDescent="0.3">
      <c r="A70" s="117" t="s">
        <v>206</v>
      </c>
      <c r="B70" s="118" t="s">
        <v>734</v>
      </c>
      <c r="E70" s="111">
        <f t="shared" si="14"/>
        <v>2</v>
      </c>
      <c r="F70" s="110" t="str">
        <f t="shared" si="15"/>
        <v xml:space="preserve"> Junio</v>
      </c>
      <c r="G70" s="110" t="str">
        <f t="shared" si="16"/>
        <v>2020</v>
      </c>
      <c r="H70" s="109">
        <f t="shared" si="17"/>
        <v>43984</v>
      </c>
      <c r="I70" s="154" t="str">
        <f t="shared" si="12"/>
        <v>31</v>
      </c>
      <c r="J70" s="106" t="s">
        <v>235</v>
      </c>
      <c r="K70" s="154" t="str">
        <f t="shared" si="13"/>
        <v>35</v>
      </c>
    </row>
    <row r="71" spans="1:14" ht="18" thickBot="1" x14ac:dyDescent="0.3">
      <c r="A71" s="117" t="s">
        <v>225</v>
      </c>
      <c r="B71" s="118" t="s">
        <v>735</v>
      </c>
      <c r="E71" s="111">
        <f t="shared" si="14"/>
        <v>3</v>
      </c>
      <c r="F71" s="110" t="str">
        <f t="shared" si="15"/>
        <v xml:space="preserve"> Junio</v>
      </c>
      <c r="G71" s="110" t="str">
        <f t="shared" si="16"/>
        <v>2020</v>
      </c>
      <c r="H71" s="109">
        <f t="shared" si="17"/>
        <v>43985</v>
      </c>
      <c r="I71" s="154" t="str">
        <f t="shared" si="12"/>
        <v>26</v>
      </c>
      <c r="J71" s="106" t="s">
        <v>235</v>
      </c>
      <c r="K71" s="154" t="str">
        <f t="shared" si="13"/>
        <v>30</v>
      </c>
    </row>
    <row r="72" spans="1:14" ht="18" thickBot="1" x14ac:dyDescent="0.3">
      <c r="A72" s="117" t="s">
        <v>224</v>
      </c>
      <c r="B72" s="118" t="s">
        <v>736</v>
      </c>
      <c r="E72" s="111">
        <f t="shared" si="14"/>
        <v>4</v>
      </c>
      <c r="F72" s="110" t="str">
        <f t="shared" si="15"/>
        <v xml:space="preserve"> Junio</v>
      </c>
      <c r="G72" s="110" t="str">
        <f t="shared" si="16"/>
        <v>2020</v>
      </c>
      <c r="H72" s="109">
        <f t="shared" si="17"/>
        <v>43986</v>
      </c>
      <c r="I72" s="154" t="str">
        <f t="shared" si="12"/>
        <v>21</v>
      </c>
      <c r="J72" s="106" t="s">
        <v>235</v>
      </c>
      <c r="K72" s="154" t="str">
        <f t="shared" si="13"/>
        <v>25</v>
      </c>
    </row>
    <row r="73" spans="1:14" ht="18" thickBot="1" x14ac:dyDescent="0.3">
      <c r="A73" s="117" t="s">
        <v>223</v>
      </c>
      <c r="B73" s="118" t="s">
        <v>737</v>
      </c>
      <c r="E73" s="111">
        <f t="shared" si="14"/>
        <v>5</v>
      </c>
      <c r="F73" s="110" t="str">
        <f t="shared" si="15"/>
        <v xml:space="preserve"> Junio</v>
      </c>
      <c r="G73" s="110" t="str">
        <f t="shared" si="16"/>
        <v>2020</v>
      </c>
      <c r="H73" s="109">
        <f t="shared" si="17"/>
        <v>43987</v>
      </c>
      <c r="I73" s="154" t="str">
        <f t="shared" si="12"/>
        <v>16</v>
      </c>
      <c r="J73" s="106" t="s">
        <v>235</v>
      </c>
      <c r="K73" s="154" t="str">
        <f t="shared" si="13"/>
        <v>20</v>
      </c>
    </row>
    <row r="74" spans="1:14" ht="18" thickBot="1" x14ac:dyDescent="0.3">
      <c r="A74" s="117" t="s">
        <v>222</v>
      </c>
      <c r="B74" s="118" t="s">
        <v>738</v>
      </c>
      <c r="E74" s="111">
        <f t="shared" si="14"/>
        <v>8</v>
      </c>
      <c r="F74" s="110" t="str">
        <f t="shared" si="15"/>
        <v xml:space="preserve"> Junio</v>
      </c>
      <c r="G74" s="110" t="str">
        <f t="shared" si="16"/>
        <v>2020</v>
      </c>
      <c r="H74" s="109">
        <f t="shared" si="17"/>
        <v>43990</v>
      </c>
      <c r="I74" s="154" t="str">
        <f t="shared" si="12"/>
        <v>11</v>
      </c>
      <c r="J74" s="106" t="s">
        <v>235</v>
      </c>
      <c r="K74" s="154" t="str">
        <f t="shared" si="13"/>
        <v>15</v>
      </c>
      <c r="N74" s="14"/>
    </row>
    <row r="75" spans="1:14" ht="18" thickBot="1" x14ac:dyDescent="0.3">
      <c r="A75" s="117" t="s">
        <v>221</v>
      </c>
      <c r="B75" s="118" t="s">
        <v>739</v>
      </c>
      <c r="E75" s="111">
        <f t="shared" si="14"/>
        <v>9</v>
      </c>
      <c r="F75" s="110" t="str">
        <f t="shared" si="15"/>
        <v xml:space="preserve"> Junio</v>
      </c>
      <c r="G75" s="110" t="str">
        <f t="shared" si="16"/>
        <v>2020</v>
      </c>
      <c r="H75" s="109">
        <f t="shared" si="17"/>
        <v>43991</v>
      </c>
      <c r="I75" s="154" t="str">
        <f t="shared" si="12"/>
        <v>06</v>
      </c>
      <c r="J75" s="106" t="s">
        <v>235</v>
      </c>
      <c r="K75" s="154" t="str">
        <f t="shared" si="13"/>
        <v>10</v>
      </c>
      <c r="N75" s="14"/>
    </row>
    <row r="76" spans="1:14" ht="17.25" x14ac:dyDescent="0.25">
      <c r="A76" s="119" t="s">
        <v>220</v>
      </c>
      <c r="B76" s="120" t="s">
        <v>740</v>
      </c>
      <c r="E76" s="111">
        <f t="shared" si="14"/>
        <v>10</v>
      </c>
      <c r="F76" s="110" t="str">
        <f t="shared" si="15"/>
        <v xml:space="preserve"> Junio</v>
      </c>
      <c r="G76" s="110" t="str">
        <f t="shared" si="16"/>
        <v>2020</v>
      </c>
      <c r="H76" s="109">
        <f t="shared" si="17"/>
        <v>43992</v>
      </c>
      <c r="I76" s="154" t="str">
        <f t="shared" si="12"/>
        <v>01</v>
      </c>
      <c r="J76" s="106" t="s">
        <v>235</v>
      </c>
      <c r="K76" s="154" t="str">
        <f t="shared" si="13"/>
        <v>05</v>
      </c>
      <c r="N76" s="14"/>
    </row>
    <row r="77" spans="1:14" x14ac:dyDescent="0.25">
      <c r="N77" s="14"/>
    </row>
    <row r="78" spans="1:14" x14ac:dyDescent="0.25">
      <c r="N78" s="14"/>
    </row>
    <row r="79" spans="1:14" ht="22.5" thickBot="1" x14ac:dyDescent="0.3">
      <c r="A79" s="126" t="s">
        <v>236</v>
      </c>
      <c r="B79" s="127" t="s">
        <v>18</v>
      </c>
      <c r="N79" s="14"/>
    </row>
    <row r="80" spans="1:14" ht="18" thickBot="1" x14ac:dyDescent="0.3">
      <c r="A80" s="116" t="s">
        <v>268</v>
      </c>
      <c r="B80" s="14" t="s">
        <v>336</v>
      </c>
      <c r="E80" s="111">
        <f t="shared" ref="E80:E111" si="18">+VALUE(LEFT(B80,2))</f>
        <v>17</v>
      </c>
      <c r="F80" s="110" t="str">
        <f t="shared" ref="F80:F111" si="19">MID(B80,FIND(" de ",B80)+3,FIND(" de ",B80,FIND(" de ",B80)+3)-FIND(" de ",B80)-3)</f>
        <v xml:space="preserve"> octubre</v>
      </c>
      <c r="G80" s="110" t="str">
        <f t="shared" ref="G80:G111" si="20">+MID(B80,FIND(" de 2",B80)+4,5)</f>
        <v>2018</v>
      </c>
      <c r="H80" s="109">
        <f t="shared" ref="H80:H111" si="21">DATEVALUE(E80&amp;"/"&amp;F80&amp;"/"&amp;G80)</f>
        <v>43390</v>
      </c>
      <c r="I80" s="154" t="str">
        <f t="shared" ref="I80:I111" si="22">+LEFT(A80,2)</f>
        <v>01</v>
      </c>
      <c r="J80" s="154" t="s">
        <v>235</v>
      </c>
      <c r="K80" s="154" t="str">
        <f t="shared" ref="K80:K111" si="23">+RIGHT(A80,2)</f>
        <v>02</v>
      </c>
      <c r="N80" s="160"/>
    </row>
    <row r="81" spans="1:14" ht="18" thickBot="1" x14ac:dyDescent="0.3">
      <c r="A81" s="116" t="s">
        <v>266</v>
      </c>
      <c r="B81" s="14" t="s">
        <v>335</v>
      </c>
      <c r="E81" s="111">
        <f t="shared" si="18"/>
        <v>16</v>
      </c>
      <c r="F81" s="110" t="str">
        <f t="shared" si="19"/>
        <v xml:space="preserve"> octubre</v>
      </c>
      <c r="G81" s="110" t="str">
        <f t="shared" si="20"/>
        <v>2018</v>
      </c>
      <c r="H81" s="109">
        <f t="shared" si="21"/>
        <v>43389</v>
      </c>
      <c r="I81" s="154" t="str">
        <f t="shared" si="22"/>
        <v>03</v>
      </c>
      <c r="J81" s="154" t="s">
        <v>235</v>
      </c>
      <c r="K81" s="154" t="str">
        <f t="shared" si="23"/>
        <v>04</v>
      </c>
      <c r="N81" s="160"/>
    </row>
    <row r="82" spans="1:14" ht="18" thickBot="1" x14ac:dyDescent="0.3">
      <c r="A82" s="116" t="s">
        <v>264</v>
      </c>
      <c r="B82" s="14" t="s">
        <v>503</v>
      </c>
      <c r="E82" s="111">
        <f t="shared" si="18"/>
        <v>15</v>
      </c>
      <c r="F82" s="110" t="str">
        <f t="shared" si="19"/>
        <v xml:space="preserve"> octubre</v>
      </c>
      <c r="G82" s="110" t="str">
        <f t="shared" si="20"/>
        <v>2018</v>
      </c>
      <c r="H82" s="109">
        <f t="shared" si="21"/>
        <v>43388</v>
      </c>
      <c r="I82" s="154" t="str">
        <f t="shared" si="22"/>
        <v>05</v>
      </c>
      <c r="J82" s="154" t="s">
        <v>235</v>
      </c>
      <c r="K82" s="154" t="str">
        <f t="shared" si="23"/>
        <v>06</v>
      </c>
      <c r="N82" s="160"/>
    </row>
    <row r="83" spans="1:14" ht="18" thickBot="1" x14ac:dyDescent="0.3">
      <c r="A83" s="116" t="s">
        <v>262</v>
      </c>
      <c r="B83" s="14" t="s">
        <v>431</v>
      </c>
      <c r="E83" s="111">
        <f t="shared" si="18"/>
        <v>11</v>
      </c>
      <c r="F83" s="110" t="str">
        <f t="shared" si="19"/>
        <v xml:space="preserve"> octubre</v>
      </c>
      <c r="G83" s="110" t="str">
        <f t="shared" si="20"/>
        <v>2019</v>
      </c>
      <c r="H83" s="109">
        <f t="shared" si="21"/>
        <v>43749</v>
      </c>
      <c r="I83" s="154" t="str">
        <f t="shared" si="22"/>
        <v>07</v>
      </c>
      <c r="J83" s="154" t="s">
        <v>235</v>
      </c>
      <c r="K83" s="154" t="str">
        <f t="shared" si="23"/>
        <v>08</v>
      </c>
      <c r="N83" s="160"/>
    </row>
    <row r="84" spans="1:14" ht="18" thickBot="1" x14ac:dyDescent="0.3">
      <c r="A84" s="116" t="s">
        <v>432</v>
      </c>
      <c r="B84" s="14" t="s">
        <v>433</v>
      </c>
      <c r="E84" s="111">
        <f t="shared" si="18"/>
        <v>10</v>
      </c>
      <c r="F84" s="110" t="str">
        <f t="shared" si="19"/>
        <v xml:space="preserve"> octubre</v>
      </c>
      <c r="G84" s="110" t="str">
        <f t="shared" si="20"/>
        <v>2019</v>
      </c>
      <c r="H84" s="109">
        <f t="shared" si="21"/>
        <v>43748</v>
      </c>
      <c r="I84" s="154" t="str">
        <f t="shared" si="22"/>
        <v>09</v>
      </c>
      <c r="J84" s="154" t="s">
        <v>235</v>
      </c>
      <c r="K84" s="154" t="str">
        <f t="shared" si="23"/>
        <v>10</v>
      </c>
      <c r="N84" s="160"/>
    </row>
    <row r="85" spans="1:14" ht="18" thickBot="1" x14ac:dyDescent="0.3">
      <c r="A85" s="116" t="s">
        <v>434</v>
      </c>
      <c r="B85" s="14" t="s">
        <v>435</v>
      </c>
      <c r="E85" s="111">
        <f t="shared" si="18"/>
        <v>9</v>
      </c>
      <c r="F85" s="110" t="str">
        <f t="shared" si="19"/>
        <v xml:space="preserve"> octubre</v>
      </c>
      <c r="G85" s="110" t="str">
        <f t="shared" si="20"/>
        <v>2019</v>
      </c>
      <c r="H85" s="109">
        <f t="shared" si="21"/>
        <v>43747</v>
      </c>
      <c r="I85" s="154" t="str">
        <f t="shared" si="22"/>
        <v>11</v>
      </c>
      <c r="J85" s="154" t="s">
        <v>235</v>
      </c>
      <c r="K85" s="154" t="str">
        <f t="shared" si="23"/>
        <v>12</v>
      </c>
      <c r="N85" s="160"/>
    </row>
    <row r="86" spans="1:14" ht="18" thickBot="1" x14ac:dyDescent="0.3">
      <c r="A86" s="116" t="s">
        <v>436</v>
      </c>
      <c r="B86" s="14" t="s">
        <v>437</v>
      </c>
      <c r="E86" s="111">
        <f t="shared" si="18"/>
        <v>8</v>
      </c>
      <c r="F86" s="110" t="str">
        <f t="shared" si="19"/>
        <v xml:space="preserve"> octubre</v>
      </c>
      <c r="G86" s="110" t="str">
        <f t="shared" si="20"/>
        <v>2019</v>
      </c>
      <c r="H86" s="109">
        <f t="shared" si="21"/>
        <v>43746</v>
      </c>
      <c r="I86" s="154" t="str">
        <f t="shared" si="22"/>
        <v>13</v>
      </c>
      <c r="J86" s="154" t="s">
        <v>235</v>
      </c>
      <c r="K86" s="154" t="str">
        <f t="shared" si="23"/>
        <v>14</v>
      </c>
      <c r="N86" s="160"/>
    </row>
    <row r="87" spans="1:14" ht="18" thickBot="1" x14ac:dyDescent="0.3">
      <c r="A87" s="116" t="s">
        <v>438</v>
      </c>
      <c r="B87" s="14" t="s">
        <v>439</v>
      </c>
      <c r="E87" s="111">
        <f t="shared" si="18"/>
        <v>7</v>
      </c>
      <c r="F87" s="110" t="str">
        <f t="shared" si="19"/>
        <v xml:space="preserve"> octubre</v>
      </c>
      <c r="G87" s="110" t="str">
        <f t="shared" si="20"/>
        <v>2019</v>
      </c>
      <c r="H87" s="109">
        <f t="shared" si="21"/>
        <v>43745</v>
      </c>
      <c r="I87" s="154" t="str">
        <f t="shared" si="22"/>
        <v>15</v>
      </c>
      <c r="J87" s="154" t="s">
        <v>235</v>
      </c>
      <c r="K87" s="154" t="str">
        <f t="shared" si="23"/>
        <v>16</v>
      </c>
      <c r="N87" s="160"/>
    </row>
    <row r="88" spans="1:14" ht="18" thickBot="1" x14ac:dyDescent="0.3">
      <c r="A88" s="116" t="s">
        <v>440</v>
      </c>
      <c r="B88" s="14" t="s">
        <v>441</v>
      </c>
      <c r="E88" s="111">
        <f t="shared" si="18"/>
        <v>4</v>
      </c>
      <c r="F88" s="110" t="str">
        <f t="shared" si="19"/>
        <v xml:space="preserve"> octubre</v>
      </c>
      <c r="G88" s="110" t="str">
        <f t="shared" si="20"/>
        <v>2019</v>
      </c>
      <c r="H88" s="109">
        <f t="shared" si="21"/>
        <v>43742</v>
      </c>
      <c r="I88" s="154" t="str">
        <f t="shared" si="22"/>
        <v>17</v>
      </c>
      <c r="J88" s="154" t="s">
        <v>235</v>
      </c>
      <c r="K88" s="154" t="str">
        <f t="shared" si="23"/>
        <v>18</v>
      </c>
      <c r="N88" s="160"/>
    </row>
    <row r="89" spans="1:14" ht="18" thickBot="1" x14ac:dyDescent="0.3">
      <c r="A89" s="116" t="s">
        <v>442</v>
      </c>
      <c r="B89" s="14" t="s">
        <v>443</v>
      </c>
      <c r="E89" s="111">
        <f t="shared" si="18"/>
        <v>3</v>
      </c>
      <c r="F89" s="110" t="str">
        <f t="shared" si="19"/>
        <v xml:space="preserve"> octubre</v>
      </c>
      <c r="G89" s="110" t="str">
        <f t="shared" si="20"/>
        <v>2019</v>
      </c>
      <c r="H89" s="109">
        <f t="shared" si="21"/>
        <v>43741</v>
      </c>
      <c r="I89" s="154" t="str">
        <f t="shared" si="22"/>
        <v>19</v>
      </c>
      <c r="J89" s="154" t="s">
        <v>235</v>
      </c>
      <c r="K89" s="154" t="str">
        <f t="shared" si="23"/>
        <v>20</v>
      </c>
      <c r="N89" s="160"/>
    </row>
    <row r="90" spans="1:14" ht="18" thickBot="1" x14ac:dyDescent="0.3">
      <c r="A90" s="116" t="s">
        <v>256</v>
      </c>
      <c r="B90" s="14" t="s">
        <v>444</v>
      </c>
      <c r="E90" s="111">
        <f t="shared" si="18"/>
        <v>2</v>
      </c>
      <c r="F90" s="110" t="str">
        <f t="shared" si="19"/>
        <v xml:space="preserve"> octubre</v>
      </c>
      <c r="G90" s="110" t="str">
        <f t="shared" si="20"/>
        <v>2019</v>
      </c>
      <c r="H90" s="109">
        <f t="shared" si="21"/>
        <v>43740</v>
      </c>
      <c r="I90" s="154" t="str">
        <f t="shared" si="22"/>
        <v>21</v>
      </c>
      <c r="J90" s="154" t="s">
        <v>235</v>
      </c>
      <c r="K90" s="154" t="str">
        <f t="shared" si="23"/>
        <v>22</v>
      </c>
      <c r="N90" s="160"/>
    </row>
    <row r="91" spans="1:14" ht="18" thickBot="1" x14ac:dyDescent="0.3">
      <c r="A91" s="116" t="s">
        <v>255</v>
      </c>
      <c r="B91" s="14" t="s">
        <v>445</v>
      </c>
      <c r="E91" s="111">
        <f t="shared" si="18"/>
        <v>1</v>
      </c>
      <c r="F91" s="110" t="str">
        <f t="shared" si="19"/>
        <v xml:space="preserve"> octubre</v>
      </c>
      <c r="G91" s="110" t="str">
        <f t="shared" si="20"/>
        <v>2019</v>
      </c>
      <c r="H91" s="109">
        <f t="shared" si="21"/>
        <v>43739</v>
      </c>
      <c r="I91" s="154" t="str">
        <f t="shared" si="22"/>
        <v>23</v>
      </c>
      <c r="J91" s="154" t="s">
        <v>235</v>
      </c>
      <c r="K91" s="154" t="str">
        <f t="shared" si="23"/>
        <v>24</v>
      </c>
      <c r="N91" s="160"/>
    </row>
    <row r="92" spans="1:14" ht="18" thickBot="1" x14ac:dyDescent="0.3">
      <c r="A92" s="116" t="s">
        <v>254</v>
      </c>
      <c r="B92" s="14" t="s">
        <v>446</v>
      </c>
      <c r="E92" s="111">
        <f t="shared" si="18"/>
        <v>30</v>
      </c>
      <c r="F92" s="110" t="str">
        <f t="shared" si="19"/>
        <v xml:space="preserve"> septiembre</v>
      </c>
      <c r="G92" s="110" t="str">
        <f t="shared" si="20"/>
        <v>2019</v>
      </c>
      <c r="H92" s="109">
        <f t="shared" si="21"/>
        <v>43738</v>
      </c>
      <c r="I92" s="154" t="str">
        <f t="shared" si="22"/>
        <v>25</v>
      </c>
      <c r="J92" s="154" t="s">
        <v>235</v>
      </c>
      <c r="K92" s="154" t="str">
        <f t="shared" si="23"/>
        <v>26</v>
      </c>
      <c r="N92" s="160"/>
    </row>
    <row r="93" spans="1:14" ht="18" thickBot="1" x14ac:dyDescent="0.3">
      <c r="A93" s="116" t="s">
        <v>253</v>
      </c>
      <c r="B93" s="14" t="s">
        <v>447</v>
      </c>
      <c r="E93" s="111">
        <f t="shared" si="18"/>
        <v>27</v>
      </c>
      <c r="F93" s="110" t="str">
        <f t="shared" si="19"/>
        <v xml:space="preserve"> septiembre</v>
      </c>
      <c r="G93" s="110" t="str">
        <f t="shared" si="20"/>
        <v>2019</v>
      </c>
      <c r="H93" s="109">
        <f t="shared" si="21"/>
        <v>43735</v>
      </c>
      <c r="I93" s="154" t="str">
        <f t="shared" si="22"/>
        <v>27</v>
      </c>
      <c r="J93" s="154" t="s">
        <v>235</v>
      </c>
      <c r="K93" s="154" t="str">
        <f t="shared" si="23"/>
        <v>28</v>
      </c>
      <c r="N93" s="160"/>
    </row>
    <row r="94" spans="1:14" ht="18" thickBot="1" x14ac:dyDescent="0.3">
      <c r="A94" s="116" t="s">
        <v>252</v>
      </c>
      <c r="B94" s="14" t="s">
        <v>448</v>
      </c>
      <c r="E94" s="111">
        <f t="shared" si="18"/>
        <v>26</v>
      </c>
      <c r="F94" s="110" t="str">
        <f t="shared" si="19"/>
        <v xml:space="preserve"> septiembre</v>
      </c>
      <c r="G94" s="110" t="str">
        <f t="shared" si="20"/>
        <v>2019</v>
      </c>
      <c r="H94" s="109">
        <f t="shared" si="21"/>
        <v>43734</v>
      </c>
      <c r="I94" s="154" t="str">
        <f t="shared" si="22"/>
        <v>29</v>
      </c>
      <c r="J94" s="154" t="s">
        <v>235</v>
      </c>
      <c r="K94" s="154" t="str">
        <f t="shared" si="23"/>
        <v>30</v>
      </c>
    </row>
    <row r="95" spans="1:14" ht="18" thickBot="1" x14ac:dyDescent="0.3">
      <c r="A95" s="116" t="s">
        <v>449</v>
      </c>
      <c r="B95" s="14" t="s">
        <v>504</v>
      </c>
      <c r="E95" s="111">
        <f t="shared" si="18"/>
        <v>25</v>
      </c>
      <c r="F95" s="110" t="str">
        <f t="shared" si="19"/>
        <v xml:space="preserve"> septiembre</v>
      </c>
      <c r="G95" s="110" t="str">
        <f t="shared" si="20"/>
        <v>2019</v>
      </c>
      <c r="H95" s="109">
        <f t="shared" si="21"/>
        <v>43733</v>
      </c>
      <c r="I95" s="154" t="str">
        <f t="shared" si="22"/>
        <v>31</v>
      </c>
      <c r="J95" s="154" t="s">
        <v>235</v>
      </c>
      <c r="K95" s="154" t="str">
        <f t="shared" si="23"/>
        <v>32</v>
      </c>
    </row>
    <row r="96" spans="1:14" ht="18" thickBot="1" x14ac:dyDescent="0.3">
      <c r="A96" s="116" t="s">
        <v>251</v>
      </c>
      <c r="B96" s="14" t="s">
        <v>450</v>
      </c>
      <c r="E96" s="111">
        <f t="shared" si="18"/>
        <v>24</v>
      </c>
      <c r="F96" s="110" t="str">
        <f t="shared" si="19"/>
        <v xml:space="preserve"> septiembre</v>
      </c>
      <c r="G96" s="110" t="str">
        <f t="shared" si="20"/>
        <v>2019</v>
      </c>
      <c r="H96" s="109">
        <f t="shared" si="21"/>
        <v>43732</v>
      </c>
      <c r="I96" s="154" t="str">
        <f t="shared" si="22"/>
        <v>33</v>
      </c>
      <c r="J96" s="154" t="s">
        <v>235</v>
      </c>
      <c r="K96" s="154" t="str">
        <f t="shared" si="23"/>
        <v>34</v>
      </c>
    </row>
    <row r="97" spans="1:11" ht="18" thickBot="1" x14ac:dyDescent="0.3">
      <c r="A97" s="116" t="s">
        <v>250</v>
      </c>
      <c r="B97" s="14" t="s">
        <v>451</v>
      </c>
      <c r="E97" s="111">
        <f t="shared" si="18"/>
        <v>23</v>
      </c>
      <c r="F97" s="110" t="str">
        <f t="shared" si="19"/>
        <v xml:space="preserve"> septiembre</v>
      </c>
      <c r="G97" s="110" t="str">
        <f t="shared" si="20"/>
        <v>2019</v>
      </c>
      <c r="H97" s="109">
        <f t="shared" si="21"/>
        <v>43731</v>
      </c>
      <c r="I97" s="154" t="str">
        <f t="shared" si="22"/>
        <v>35</v>
      </c>
      <c r="J97" s="154" t="s">
        <v>235</v>
      </c>
      <c r="K97" s="154" t="str">
        <f t="shared" si="23"/>
        <v>36</v>
      </c>
    </row>
    <row r="98" spans="1:11" ht="18" thickBot="1" x14ac:dyDescent="0.3">
      <c r="A98" s="116" t="s">
        <v>452</v>
      </c>
      <c r="B98" s="14" t="s">
        <v>453</v>
      </c>
      <c r="E98" s="111">
        <f t="shared" si="18"/>
        <v>20</v>
      </c>
      <c r="F98" s="110" t="str">
        <f t="shared" si="19"/>
        <v xml:space="preserve"> septiembre</v>
      </c>
      <c r="G98" s="110" t="str">
        <f t="shared" si="20"/>
        <v>2019</v>
      </c>
      <c r="H98" s="109">
        <f t="shared" si="21"/>
        <v>43728</v>
      </c>
      <c r="I98" s="154" t="str">
        <f t="shared" si="22"/>
        <v>37</v>
      </c>
      <c r="J98" s="154" t="s">
        <v>235</v>
      </c>
      <c r="K98" s="154" t="str">
        <f t="shared" si="23"/>
        <v>38</v>
      </c>
    </row>
    <row r="99" spans="1:11" ht="18" thickBot="1" x14ac:dyDescent="0.3">
      <c r="A99" s="116" t="s">
        <v>454</v>
      </c>
      <c r="B99" s="14" t="s">
        <v>455</v>
      </c>
      <c r="E99" s="111">
        <f t="shared" si="18"/>
        <v>19</v>
      </c>
      <c r="F99" s="110" t="str">
        <f t="shared" si="19"/>
        <v xml:space="preserve"> septiembre</v>
      </c>
      <c r="G99" s="110" t="str">
        <f t="shared" si="20"/>
        <v>2019</v>
      </c>
      <c r="H99" s="109">
        <f t="shared" si="21"/>
        <v>43727</v>
      </c>
      <c r="I99" s="154" t="str">
        <f t="shared" si="22"/>
        <v>39</v>
      </c>
      <c r="J99" s="154" t="s">
        <v>235</v>
      </c>
      <c r="K99" s="154" t="str">
        <f t="shared" si="23"/>
        <v>40</v>
      </c>
    </row>
    <row r="100" spans="1:11" ht="18" thickBot="1" x14ac:dyDescent="0.3">
      <c r="A100" s="116" t="s">
        <v>249</v>
      </c>
      <c r="B100" s="14" t="s">
        <v>456</v>
      </c>
      <c r="E100" s="111">
        <f t="shared" si="18"/>
        <v>18</v>
      </c>
      <c r="F100" s="110" t="str">
        <f t="shared" si="19"/>
        <v xml:space="preserve"> septiembre</v>
      </c>
      <c r="G100" s="110" t="str">
        <f t="shared" si="20"/>
        <v>2019</v>
      </c>
      <c r="H100" s="109">
        <f t="shared" si="21"/>
        <v>43726</v>
      </c>
      <c r="I100" s="154" t="str">
        <f t="shared" si="22"/>
        <v>41</v>
      </c>
      <c r="J100" s="154" t="s">
        <v>235</v>
      </c>
      <c r="K100" s="154" t="str">
        <f t="shared" si="23"/>
        <v>42</v>
      </c>
    </row>
    <row r="101" spans="1:11" ht="18" thickBot="1" x14ac:dyDescent="0.3">
      <c r="A101" s="116" t="s">
        <v>248</v>
      </c>
      <c r="B101" s="14" t="s">
        <v>457</v>
      </c>
      <c r="E101" s="111">
        <f t="shared" si="18"/>
        <v>17</v>
      </c>
      <c r="F101" s="110" t="str">
        <f t="shared" si="19"/>
        <v xml:space="preserve"> septiembre</v>
      </c>
      <c r="G101" s="110" t="str">
        <f t="shared" si="20"/>
        <v>2019</v>
      </c>
      <c r="H101" s="109">
        <f t="shared" si="21"/>
        <v>43725</v>
      </c>
      <c r="I101" s="154" t="str">
        <f t="shared" si="22"/>
        <v>43</v>
      </c>
      <c r="J101" s="154" t="s">
        <v>235</v>
      </c>
      <c r="K101" s="154" t="str">
        <f t="shared" si="23"/>
        <v>44</v>
      </c>
    </row>
    <row r="102" spans="1:11" ht="18" thickBot="1" x14ac:dyDescent="0.3">
      <c r="A102" s="116" t="s">
        <v>458</v>
      </c>
      <c r="B102" s="14" t="s">
        <v>459</v>
      </c>
      <c r="E102" s="111">
        <f t="shared" si="18"/>
        <v>16</v>
      </c>
      <c r="F102" s="110" t="str">
        <f t="shared" si="19"/>
        <v xml:space="preserve"> septiembre</v>
      </c>
      <c r="G102" s="110" t="str">
        <f t="shared" si="20"/>
        <v>2019</v>
      </c>
      <c r="H102" s="109">
        <f t="shared" si="21"/>
        <v>43724</v>
      </c>
      <c r="I102" s="154" t="str">
        <f t="shared" si="22"/>
        <v>45</v>
      </c>
      <c r="J102" s="154" t="s">
        <v>235</v>
      </c>
      <c r="K102" s="154" t="str">
        <f t="shared" si="23"/>
        <v>46</v>
      </c>
    </row>
    <row r="103" spans="1:11" ht="18" thickBot="1" x14ac:dyDescent="0.3">
      <c r="A103" s="116" t="s">
        <v>247</v>
      </c>
      <c r="B103" s="14" t="s">
        <v>460</v>
      </c>
      <c r="E103" s="111">
        <f t="shared" si="18"/>
        <v>13</v>
      </c>
      <c r="F103" s="110" t="str">
        <f t="shared" si="19"/>
        <v xml:space="preserve"> septiembre</v>
      </c>
      <c r="G103" s="110" t="str">
        <f t="shared" si="20"/>
        <v>2019</v>
      </c>
      <c r="H103" s="109">
        <f t="shared" si="21"/>
        <v>43721</v>
      </c>
      <c r="I103" s="154" t="str">
        <f t="shared" si="22"/>
        <v>47</v>
      </c>
      <c r="J103" s="154" t="s">
        <v>235</v>
      </c>
      <c r="K103" s="154" t="str">
        <f t="shared" si="23"/>
        <v>48</v>
      </c>
    </row>
    <row r="104" spans="1:11" ht="18" thickBot="1" x14ac:dyDescent="0.3">
      <c r="A104" s="116" t="s">
        <v>461</v>
      </c>
      <c r="B104" s="14" t="s">
        <v>462</v>
      </c>
      <c r="E104" s="111">
        <f t="shared" si="18"/>
        <v>12</v>
      </c>
      <c r="F104" s="110" t="str">
        <f t="shared" si="19"/>
        <v xml:space="preserve"> septiembre</v>
      </c>
      <c r="G104" s="110" t="str">
        <f t="shared" si="20"/>
        <v>2019</v>
      </c>
      <c r="H104" s="109">
        <f t="shared" si="21"/>
        <v>43720</v>
      </c>
      <c r="I104" s="154" t="str">
        <f t="shared" si="22"/>
        <v>49</v>
      </c>
      <c r="J104" s="154" t="s">
        <v>235</v>
      </c>
      <c r="K104" s="154" t="str">
        <f t="shared" si="23"/>
        <v>50</v>
      </c>
    </row>
    <row r="105" spans="1:11" ht="18" thickBot="1" x14ac:dyDescent="0.3">
      <c r="A105" s="116" t="s">
        <v>463</v>
      </c>
      <c r="B105" s="14" t="s">
        <v>464</v>
      </c>
      <c r="E105" s="111">
        <f t="shared" si="18"/>
        <v>11</v>
      </c>
      <c r="F105" s="110" t="str">
        <f t="shared" si="19"/>
        <v xml:space="preserve"> septiembre</v>
      </c>
      <c r="G105" s="110" t="str">
        <f t="shared" si="20"/>
        <v>2019</v>
      </c>
      <c r="H105" s="109">
        <f t="shared" si="21"/>
        <v>43719</v>
      </c>
      <c r="I105" s="154" t="str">
        <f t="shared" si="22"/>
        <v>51</v>
      </c>
      <c r="J105" s="154" t="s">
        <v>235</v>
      </c>
      <c r="K105" s="154" t="str">
        <f t="shared" si="23"/>
        <v>52</v>
      </c>
    </row>
    <row r="106" spans="1:11" ht="18" thickBot="1" x14ac:dyDescent="0.3">
      <c r="A106" s="116" t="s">
        <v>465</v>
      </c>
      <c r="B106" s="14" t="s">
        <v>466</v>
      </c>
      <c r="E106" s="111">
        <f t="shared" si="18"/>
        <v>10</v>
      </c>
      <c r="F106" s="110" t="str">
        <f t="shared" si="19"/>
        <v xml:space="preserve"> septiembre</v>
      </c>
      <c r="G106" s="110" t="str">
        <f t="shared" si="20"/>
        <v>2019</v>
      </c>
      <c r="H106" s="109">
        <f t="shared" si="21"/>
        <v>43718</v>
      </c>
      <c r="I106" s="154" t="str">
        <f t="shared" si="22"/>
        <v>53</v>
      </c>
      <c r="J106" s="154" t="s">
        <v>235</v>
      </c>
      <c r="K106" s="154" t="str">
        <f t="shared" si="23"/>
        <v>54</v>
      </c>
    </row>
    <row r="107" spans="1:11" ht="18" thickBot="1" x14ac:dyDescent="0.3">
      <c r="A107" s="116" t="s">
        <v>467</v>
      </c>
      <c r="B107" s="14" t="s">
        <v>468</v>
      </c>
      <c r="E107" s="111">
        <f t="shared" si="18"/>
        <v>9</v>
      </c>
      <c r="F107" s="110" t="str">
        <f t="shared" si="19"/>
        <v xml:space="preserve"> septiembre</v>
      </c>
      <c r="G107" s="110" t="str">
        <f t="shared" si="20"/>
        <v>2019</v>
      </c>
      <c r="H107" s="109">
        <f t="shared" si="21"/>
        <v>43717</v>
      </c>
      <c r="I107" s="154" t="str">
        <f t="shared" si="22"/>
        <v>55</v>
      </c>
      <c r="J107" s="154" t="s">
        <v>235</v>
      </c>
      <c r="K107" s="154" t="str">
        <f t="shared" si="23"/>
        <v>56</v>
      </c>
    </row>
    <row r="108" spans="1:11" ht="18" thickBot="1" x14ac:dyDescent="0.3">
      <c r="A108" s="116" t="s">
        <v>469</v>
      </c>
      <c r="B108" s="14" t="s">
        <v>470</v>
      </c>
      <c r="E108" s="111">
        <f t="shared" si="18"/>
        <v>6</v>
      </c>
      <c r="F108" s="110" t="str">
        <f t="shared" si="19"/>
        <v xml:space="preserve"> septiembre</v>
      </c>
      <c r="G108" s="110" t="str">
        <f t="shared" si="20"/>
        <v>2019</v>
      </c>
      <c r="H108" s="109">
        <f t="shared" si="21"/>
        <v>43714</v>
      </c>
      <c r="I108" s="154" t="str">
        <f t="shared" si="22"/>
        <v>57</v>
      </c>
      <c r="J108" s="154" t="s">
        <v>235</v>
      </c>
      <c r="K108" s="154" t="str">
        <f t="shared" si="23"/>
        <v>58</v>
      </c>
    </row>
    <row r="109" spans="1:11" ht="18" thickBot="1" x14ac:dyDescent="0.3">
      <c r="A109" s="116" t="s">
        <v>246</v>
      </c>
      <c r="B109" s="14" t="s">
        <v>471</v>
      </c>
      <c r="E109" s="111">
        <f t="shared" si="18"/>
        <v>5</v>
      </c>
      <c r="F109" s="110" t="str">
        <f t="shared" si="19"/>
        <v xml:space="preserve"> septiembre</v>
      </c>
      <c r="G109" s="110" t="str">
        <f t="shared" si="20"/>
        <v>2019</v>
      </c>
      <c r="H109" s="109">
        <f t="shared" si="21"/>
        <v>43713</v>
      </c>
      <c r="I109" s="154" t="str">
        <f t="shared" si="22"/>
        <v>59</v>
      </c>
      <c r="J109" s="154" t="s">
        <v>235</v>
      </c>
      <c r="K109" s="154" t="str">
        <f t="shared" si="23"/>
        <v>60</v>
      </c>
    </row>
    <row r="110" spans="1:11" ht="18" thickBot="1" x14ac:dyDescent="0.3">
      <c r="A110" s="116" t="s">
        <v>245</v>
      </c>
      <c r="B110" s="14" t="s">
        <v>472</v>
      </c>
      <c r="E110" s="111">
        <f t="shared" si="18"/>
        <v>4</v>
      </c>
      <c r="F110" s="110" t="str">
        <f t="shared" si="19"/>
        <v xml:space="preserve"> septiembre</v>
      </c>
      <c r="G110" s="110" t="str">
        <f t="shared" si="20"/>
        <v>2019</v>
      </c>
      <c r="H110" s="109">
        <f t="shared" si="21"/>
        <v>43712</v>
      </c>
      <c r="I110" s="154" t="str">
        <f t="shared" si="22"/>
        <v>61</v>
      </c>
      <c r="J110" s="154" t="s">
        <v>235</v>
      </c>
      <c r="K110" s="154" t="str">
        <f t="shared" si="23"/>
        <v>62</v>
      </c>
    </row>
    <row r="111" spans="1:11" ht="18" thickBot="1" x14ac:dyDescent="0.3">
      <c r="A111" s="116" t="s">
        <v>244</v>
      </c>
      <c r="B111" s="14" t="s">
        <v>473</v>
      </c>
      <c r="E111" s="111">
        <f t="shared" si="18"/>
        <v>3</v>
      </c>
      <c r="F111" s="110" t="str">
        <f t="shared" si="19"/>
        <v xml:space="preserve"> septiembre</v>
      </c>
      <c r="G111" s="110" t="str">
        <f t="shared" si="20"/>
        <v>2019</v>
      </c>
      <c r="H111" s="109">
        <f t="shared" si="21"/>
        <v>43711</v>
      </c>
      <c r="I111" s="154" t="str">
        <f t="shared" si="22"/>
        <v>63</v>
      </c>
      <c r="J111" s="154" t="s">
        <v>235</v>
      </c>
      <c r="K111" s="154" t="str">
        <f t="shared" si="23"/>
        <v>64</v>
      </c>
    </row>
    <row r="112" spans="1:11" ht="18" thickBot="1" x14ac:dyDescent="0.3">
      <c r="A112" s="116" t="s">
        <v>243</v>
      </c>
      <c r="B112" s="14" t="s">
        <v>474</v>
      </c>
      <c r="E112" s="111">
        <f t="shared" ref="E112:E129" si="24">+VALUE(LEFT(B112,2))</f>
        <v>2</v>
      </c>
      <c r="F112" s="110" t="str">
        <f t="shared" ref="F112:F129" si="25">MID(B112,FIND(" de ",B112)+3,FIND(" de ",B112,FIND(" de ",B112)+3)-FIND(" de ",B112)-3)</f>
        <v xml:space="preserve"> septiembre</v>
      </c>
      <c r="G112" s="110" t="str">
        <f t="shared" ref="G112:G129" si="26">+MID(B112,FIND(" de 2",B112)+4,5)</f>
        <v>2019</v>
      </c>
      <c r="H112" s="109">
        <f t="shared" ref="H112:H129" si="27">DATEVALUE(E112&amp;"/"&amp;F112&amp;"/"&amp;G112)</f>
        <v>43710</v>
      </c>
      <c r="I112" s="154" t="str">
        <f t="shared" ref="I112:I129" si="28">+LEFT(A112,2)</f>
        <v>65</v>
      </c>
      <c r="J112" s="154" t="s">
        <v>235</v>
      </c>
      <c r="K112" s="154" t="str">
        <f t="shared" ref="K112:K129" si="29">+RIGHT(A112,2)</f>
        <v>66</v>
      </c>
    </row>
    <row r="113" spans="1:14" ht="18" thickBot="1" x14ac:dyDescent="0.3">
      <c r="A113" s="116" t="s">
        <v>242</v>
      </c>
      <c r="B113" s="14" t="s">
        <v>475</v>
      </c>
      <c r="E113" s="111">
        <f t="shared" si="24"/>
        <v>30</v>
      </c>
      <c r="F113" s="110" t="str">
        <f t="shared" si="25"/>
        <v xml:space="preserve"> agosto</v>
      </c>
      <c r="G113" s="110" t="str">
        <f t="shared" si="26"/>
        <v>2019</v>
      </c>
      <c r="H113" s="109">
        <f t="shared" si="27"/>
        <v>43707</v>
      </c>
      <c r="I113" s="154" t="str">
        <f t="shared" si="28"/>
        <v>67</v>
      </c>
      <c r="J113" s="154" t="s">
        <v>235</v>
      </c>
      <c r="K113" s="154" t="str">
        <f t="shared" si="29"/>
        <v>68</v>
      </c>
    </row>
    <row r="114" spans="1:14" ht="18" thickBot="1" x14ac:dyDescent="0.3">
      <c r="A114" s="116" t="s">
        <v>476</v>
      </c>
      <c r="B114" s="14" t="s">
        <v>477</v>
      </c>
      <c r="E114" s="111">
        <f t="shared" si="24"/>
        <v>29</v>
      </c>
      <c r="F114" s="110" t="str">
        <f t="shared" si="25"/>
        <v xml:space="preserve"> agosto</v>
      </c>
      <c r="G114" s="110" t="str">
        <f t="shared" si="26"/>
        <v>2019</v>
      </c>
      <c r="H114" s="109">
        <f t="shared" si="27"/>
        <v>43706</v>
      </c>
      <c r="I114" s="154" t="str">
        <f t="shared" si="28"/>
        <v>69</v>
      </c>
      <c r="J114" s="154" t="s">
        <v>235</v>
      </c>
      <c r="K114" s="154" t="str">
        <f t="shared" si="29"/>
        <v>70</v>
      </c>
    </row>
    <row r="115" spans="1:14" ht="18" thickBot="1" x14ac:dyDescent="0.3">
      <c r="A115" s="116" t="s">
        <v>478</v>
      </c>
      <c r="B115" s="14" t="s">
        <v>479</v>
      </c>
      <c r="E115" s="111">
        <f t="shared" si="24"/>
        <v>28</v>
      </c>
      <c r="F115" s="110" t="str">
        <f t="shared" si="25"/>
        <v xml:space="preserve"> agosto</v>
      </c>
      <c r="G115" s="110" t="str">
        <f t="shared" si="26"/>
        <v>2019</v>
      </c>
      <c r="H115" s="109">
        <f t="shared" si="27"/>
        <v>43705</v>
      </c>
      <c r="I115" s="154" t="str">
        <f t="shared" si="28"/>
        <v>71</v>
      </c>
      <c r="J115" s="154" t="s">
        <v>235</v>
      </c>
      <c r="K115" s="154" t="str">
        <f t="shared" si="29"/>
        <v>72</v>
      </c>
    </row>
    <row r="116" spans="1:14" ht="18" thickBot="1" x14ac:dyDescent="0.3">
      <c r="A116" s="116" t="s">
        <v>480</v>
      </c>
      <c r="B116" s="14" t="s">
        <v>481</v>
      </c>
      <c r="E116" s="111">
        <f t="shared" si="24"/>
        <v>27</v>
      </c>
      <c r="F116" s="110" t="str">
        <f t="shared" si="25"/>
        <v xml:space="preserve"> agosto</v>
      </c>
      <c r="G116" s="110" t="str">
        <f t="shared" si="26"/>
        <v>2019</v>
      </c>
      <c r="H116" s="109">
        <f t="shared" si="27"/>
        <v>43704</v>
      </c>
      <c r="I116" s="154" t="str">
        <f t="shared" si="28"/>
        <v>73</v>
      </c>
      <c r="J116" s="154" t="s">
        <v>235</v>
      </c>
      <c r="K116" s="154" t="str">
        <f t="shared" si="29"/>
        <v>74</v>
      </c>
      <c r="N116" s="14"/>
    </row>
    <row r="117" spans="1:14" ht="18" thickBot="1" x14ac:dyDescent="0.3">
      <c r="A117" s="116" t="s">
        <v>241</v>
      </c>
      <c r="B117" s="14" t="s">
        <v>482</v>
      </c>
      <c r="E117" s="111">
        <f t="shared" si="24"/>
        <v>26</v>
      </c>
      <c r="F117" s="110" t="str">
        <f t="shared" si="25"/>
        <v xml:space="preserve"> agosto</v>
      </c>
      <c r="G117" s="110" t="str">
        <f t="shared" si="26"/>
        <v>2019</v>
      </c>
      <c r="H117" s="109">
        <f t="shared" si="27"/>
        <v>43703</v>
      </c>
      <c r="I117" s="154" t="str">
        <f t="shared" si="28"/>
        <v>75</v>
      </c>
      <c r="J117" s="154" t="s">
        <v>235</v>
      </c>
      <c r="K117" s="154" t="str">
        <f t="shared" si="29"/>
        <v>76</v>
      </c>
      <c r="N117" s="14"/>
    </row>
    <row r="118" spans="1:14" ht="18" thickBot="1" x14ac:dyDescent="0.3">
      <c r="A118" s="116" t="s">
        <v>240</v>
      </c>
      <c r="B118" s="14" t="s">
        <v>483</v>
      </c>
      <c r="E118" s="111">
        <f t="shared" si="24"/>
        <v>23</v>
      </c>
      <c r="F118" s="110" t="str">
        <f t="shared" si="25"/>
        <v xml:space="preserve"> agosto</v>
      </c>
      <c r="G118" s="110" t="str">
        <f t="shared" si="26"/>
        <v>2019</v>
      </c>
      <c r="H118" s="109">
        <f t="shared" si="27"/>
        <v>43700</v>
      </c>
      <c r="I118" s="154" t="str">
        <f t="shared" si="28"/>
        <v>77</v>
      </c>
      <c r="J118" s="154" t="s">
        <v>235</v>
      </c>
      <c r="K118" s="154" t="str">
        <f t="shared" si="29"/>
        <v>78</v>
      </c>
      <c r="N118" s="14"/>
    </row>
    <row r="119" spans="1:14" ht="18" thickBot="1" x14ac:dyDescent="0.3">
      <c r="A119" s="116" t="s">
        <v>484</v>
      </c>
      <c r="B119" s="14" t="s">
        <v>485</v>
      </c>
      <c r="E119" s="111">
        <f t="shared" si="24"/>
        <v>22</v>
      </c>
      <c r="F119" s="110" t="str">
        <f t="shared" si="25"/>
        <v xml:space="preserve"> agosto</v>
      </c>
      <c r="G119" s="110" t="str">
        <f t="shared" si="26"/>
        <v>2019</v>
      </c>
      <c r="H119" s="109">
        <f t="shared" si="27"/>
        <v>43699</v>
      </c>
      <c r="I119" s="154" t="str">
        <f t="shared" si="28"/>
        <v>79</v>
      </c>
      <c r="J119" s="154" t="s">
        <v>235</v>
      </c>
      <c r="K119" s="154" t="str">
        <f t="shared" si="29"/>
        <v>80</v>
      </c>
      <c r="N119" s="14"/>
    </row>
    <row r="120" spans="1:14" ht="18" thickBot="1" x14ac:dyDescent="0.3">
      <c r="A120" s="116" t="s">
        <v>486</v>
      </c>
      <c r="B120" s="14" t="s">
        <v>487</v>
      </c>
      <c r="E120" s="111">
        <f t="shared" si="24"/>
        <v>21</v>
      </c>
      <c r="F120" s="110" t="str">
        <f t="shared" si="25"/>
        <v xml:space="preserve"> agosto</v>
      </c>
      <c r="G120" s="110" t="str">
        <f t="shared" si="26"/>
        <v>2019</v>
      </c>
      <c r="H120" s="109">
        <f t="shared" si="27"/>
        <v>43698</v>
      </c>
      <c r="I120" s="154" t="str">
        <f t="shared" si="28"/>
        <v>81</v>
      </c>
      <c r="J120" s="154" t="s">
        <v>235</v>
      </c>
      <c r="K120" s="154" t="str">
        <f t="shared" si="29"/>
        <v>82</v>
      </c>
      <c r="N120" s="14"/>
    </row>
    <row r="121" spans="1:14" ht="18" thickBot="1" x14ac:dyDescent="0.3">
      <c r="A121" s="116" t="s">
        <v>239</v>
      </c>
      <c r="B121" s="14" t="s">
        <v>488</v>
      </c>
      <c r="E121" s="111">
        <f t="shared" si="24"/>
        <v>20</v>
      </c>
      <c r="F121" s="110" t="str">
        <f t="shared" si="25"/>
        <v xml:space="preserve"> agosto</v>
      </c>
      <c r="G121" s="110" t="str">
        <f t="shared" si="26"/>
        <v>2019</v>
      </c>
      <c r="H121" s="109">
        <f t="shared" si="27"/>
        <v>43697</v>
      </c>
      <c r="I121" s="154" t="str">
        <f t="shared" si="28"/>
        <v>83</v>
      </c>
      <c r="J121" s="154" t="s">
        <v>235</v>
      </c>
      <c r="K121" s="154" t="str">
        <f t="shared" si="29"/>
        <v>84</v>
      </c>
      <c r="N121" s="14"/>
    </row>
    <row r="122" spans="1:14" ht="18" thickBot="1" x14ac:dyDescent="0.3">
      <c r="A122" s="116" t="s">
        <v>238</v>
      </c>
      <c r="B122" s="14" t="s">
        <v>489</v>
      </c>
      <c r="E122" s="111">
        <f t="shared" si="24"/>
        <v>16</v>
      </c>
      <c r="F122" s="110" t="str">
        <f t="shared" si="25"/>
        <v xml:space="preserve"> agosto</v>
      </c>
      <c r="G122" s="110" t="str">
        <f t="shared" si="26"/>
        <v>2019</v>
      </c>
      <c r="H122" s="109">
        <f t="shared" si="27"/>
        <v>43693</v>
      </c>
      <c r="I122" s="154" t="str">
        <f t="shared" si="28"/>
        <v>85</v>
      </c>
      <c r="J122" s="154" t="s">
        <v>235</v>
      </c>
      <c r="K122" s="154" t="str">
        <f t="shared" si="29"/>
        <v>86</v>
      </c>
      <c r="N122" s="14"/>
    </row>
    <row r="123" spans="1:14" ht="18" thickBot="1" x14ac:dyDescent="0.3">
      <c r="A123" s="116" t="s">
        <v>490</v>
      </c>
      <c r="B123" s="14" t="s">
        <v>491</v>
      </c>
      <c r="E123" s="111">
        <f t="shared" si="24"/>
        <v>15</v>
      </c>
      <c r="F123" s="110" t="str">
        <f t="shared" si="25"/>
        <v xml:space="preserve"> agosto</v>
      </c>
      <c r="G123" s="110" t="str">
        <f t="shared" si="26"/>
        <v>2019</v>
      </c>
      <c r="H123" s="109">
        <f t="shared" si="27"/>
        <v>43692</v>
      </c>
      <c r="I123" s="154" t="str">
        <f t="shared" si="28"/>
        <v>87</v>
      </c>
      <c r="J123" s="154" t="s">
        <v>235</v>
      </c>
      <c r="K123" s="154" t="str">
        <f t="shared" si="29"/>
        <v>88</v>
      </c>
      <c r="N123" s="14"/>
    </row>
    <row r="124" spans="1:14" ht="18" thickBot="1" x14ac:dyDescent="0.3">
      <c r="A124" s="116" t="s">
        <v>492</v>
      </c>
      <c r="B124" s="14" t="s">
        <v>493</v>
      </c>
      <c r="E124" s="111">
        <f t="shared" si="24"/>
        <v>14</v>
      </c>
      <c r="F124" s="110" t="str">
        <f t="shared" si="25"/>
        <v xml:space="preserve"> agosto</v>
      </c>
      <c r="G124" s="110" t="str">
        <f t="shared" si="26"/>
        <v>2019</v>
      </c>
      <c r="H124" s="109">
        <f t="shared" si="27"/>
        <v>43691</v>
      </c>
      <c r="I124" s="154" t="str">
        <f t="shared" si="28"/>
        <v>89</v>
      </c>
      <c r="J124" s="154" t="s">
        <v>235</v>
      </c>
      <c r="K124" s="154" t="str">
        <f t="shared" si="29"/>
        <v>90</v>
      </c>
      <c r="N124" s="14"/>
    </row>
    <row r="125" spans="1:14" ht="18" thickBot="1" x14ac:dyDescent="0.3">
      <c r="A125" s="116" t="s">
        <v>494</v>
      </c>
      <c r="B125" s="14" t="s">
        <v>495</v>
      </c>
      <c r="E125" s="111">
        <f t="shared" si="24"/>
        <v>13</v>
      </c>
      <c r="F125" s="110" t="str">
        <f t="shared" si="25"/>
        <v xml:space="preserve"> agosto</v>
      </c>
      <c r="G125" s="110" t="str">
        <f t="shared" si="26"/>
        <v>2019</v>
      </c>
      <c r="H125" s="109">
        <f t="shared" si="27"/>
        <v>43690</v>
      </c>
      <c r="I125" s="154" t="str">
        <f t="shared" si="28"/>
        <v>91</v>
      </c>
      <c r="J125" s="154" t="s">
        <v>235</v>
      </c>
      <c r="K125" s="154" t="str">
        <f t="shared" si="29"/>
        <v>92</v>
      </c>
      <c r="N125" s="14"/>
    </row>
    <row r="126" spans="1:14" ht="18" thickBot="1" x14ac:dyDescent="0.3">
      <c r="A126" s="116" t="s">
        <v>496</v>
      </c>
      <c r="B126" s="14" t="s">
        <v>497</v>
      </c>
      <c r="E126" s="111">
        <f t="shared" si="24"/>
        <v>12</v>
      </c>
      <c r="F126" s="110" t="str">
        <f t="shared" si="25"/>
        <v xml:space="preserve"> agosto</v>
      </c>
      <c r="G126" s="110" t="str">
        <f t="shared" si="26"/>
        <v>2019</v>
      </c>
      <c r="H126" s="109">
        <f t="shared" si="27"/>
        <v>43689</v>
      </c>
      <c r="I126" s="154" t="str">
        <f t="shared" si="28"/>
        <v>93</v>
      </c>
      <c r="J126" s="154" t="s">
        <v>235</v>
      </c>
      <c r="K126" s="154" t="str">
        <f t="shared" si="29"/>
        <v>94</v>
      </c>
      <c r="N126" s="14"/>
    </row>
    <row r="127" spans="1:14" ht="18" thickBot="1" x14ac:dyDescent="0.3">
      <c r="A127" s="116" t="s">
        <v>498</v>
      </c>
      <c r="B127" s="14" t="s">
        <v>499</v>
      </c>
      <c r="E127" s="111">
        <f t="shared" si="24"/>
        <v>9</v>
      </c>
      <c r="F127" s="110" t="str">
        <f t="shared" si="25"/>
        <v xml:space="preserve"> agosto</v>
      </c>
      <c r="G127" s="110" t="str">
        <f t="shared" si="26"/>
        <v>2019</v>
      </c>
      <c r="H127" s="109">
        <f t="shared" si="27"/>
        <v>43686</v>
      </c>
      <c r="I127" s="154" t="str">
        <f t="shared" si="28"/>
        <v>95</v>
      </c>
      <c r="J127" s="154" t="s">
        <v>235</v>
      </c>
      <c r="K127" s="154" t="str">
        <f t="shared" si="29"/>
        <v>96</v>
      </c>
      <c r="N127" s="14"/>
    </row>
    <row r="128" spans="1:14" ht="18" thickBot="1" x14ac:dyDescent="0.3">
      <c r="A128" s="116" t="s">
        <v>500</v>
      </c>
      <c r="B128" s="14" t="s">
        <v>501</v>
      </c>
      <c r="E128" s="111">
        <f t="shared" si="24"/>
        <v>8</v>
      </c>
      <c r="F128" s="110" t="str">
        <f t="shared" si="25"/>
        <v xml:space="preserve"> agosto</v>
      </c>
      <c r="G128" s="110" t="str">
        <f t="shared" si="26"/>
        <v>2019</v>
      </c>
      <c r="H128" s="109">
        <f t="shared" si="27"/>
        <v>43685</v>
      </c>
      <c r="I128" s="154" t="str">
        <f t="shared" si="28"/>
        <v>97</v>
      </c>
      <c r="J128" s="154" t="s">
        <v>235</v>
      </c>
      <c r="K128" s="154" t="str">
        <f t="shared" si="29"/>
        <v>98</v>
      </c>
      <c r="N128" s="14"/>
    </row>
    <row r="129" spans="1:14" ht="17.25" x14ac:dyDescent="0.25">
      <c r="A129" s="114" t="s">
        <v>237</v>
      </c>
      <c r="B129" s="14" t="s">
        <v>502</v>
      </c>
      <c r="E129" s="111">
        <f t="shared" si="24"/>
        <v>6</v>
      </c>
      <c r="F129" s="110" t="str">
        <f t="shared" si="25"/>
        <v xml:space="preserve"> agosto</v>
      </c>
      <c r="G129" s="110" t="str">
        <f t="shared" si="26"/>
        <v>2019</v>
      </c>
      <c r="H129" s="109">
        <f t="shared" si="27"/>
        <v>43683</v>
      </c>
      <c r="I129" s="154" t="str">
        <f t="shared" si="28"/>
        <v>99</v>
      </c>
      <c r="J129" s="154" t="s">
        <v>235</v>
      </c>
      <c r="K129" s="154" t="str">
        <f t="shared" si="29"/>
        <v>00</v>
      </c>
      <c r="N129" s="14"/>
    </row>
    <row r="133" spans="1:14" ht="15.75" thickBot="1" x14ac:dyDescent="0.3">
      <c r="A133" s="148" t="s">
        <v>220</v>
      </c>
      <c r="B133" s="149" t="s">
        <v>299</v>
      </c>
      <c r="E133" s="106">
        <v>1</v>
      </c>
      <c r="F133" s="106" t="s">
        <v>30</v>
      </c>
      <c r="G133" s="106">
        <v>5</v>
      </c>
      <c r="H133" s="109">
        <v>42864</v>
      </c>
    </row>
    <row r="134" spans="1:14" ht="15.75" thickBot="1" x14ac:dyDescent="0.3">
      <c r="A134" s="150" t="s">
        <v>221</v>
      </c>
      <c r="B134" s="151" t="s">
        <v>300</v>
      </c>
      <c r="E134" s="106">
        <v>6</v>
      </c>
      <c r="F134" s="106" t="s">
        <v>30</v>
      </c>
      <c r="G134" s="106">
        <v>10</v>
      </c>
      <c r="H134" s="109">
        <v>42865</v>
      </c>
    </row>
    <row r="135" spans="1:14" ht="15.75" thickBot="1" x14ac:dyDescent="0.3">
      <c r="A135" s="150" t="s">
        <v>222</v>
      </c>
      <c r="B135" s="151" t="s">
        <v>301</v>
      </c>
      <c r="E135" s="106">
        <v>11</v>
      </c>
      <c r="F135" s="106" t="s">
        <v>30</v>
      </c>
      <c r="G135" s="106">
        <v>15</v>
      </c>
      <c r="H135" s="109">
        <v>42866</v>
      </c>
    </row>
    <row r="136" spans="1:14" ht="15.75" thickBot="1" x14ac:dyDescent="0.3">
      <c r="A136" s="150" t="s">
        <v>223</v>
      </c>
      <c r="B136" s="151" t="s">
        <v>302</v>
      </c>
      <c r="E136" s="106">
        <v>16</v>
      </c>
      <c r="F136" s="106" t="s">
        <v>30</v>
      </c>
      <c r="G136" s="106">
        <v>20</v>
      </c>
      <c r="H136" s="109">
        <v>42867</v>
      </c>
    </row>
    <row r="137" spans="1:14" ht="15.75" thickBot="1" x14ac:dyDescent="0.3">
      <c r="A137" s="150" t="s">
        <v>224</v>
      </c>
      <c r="B137" s="151" t="s">
        <v>303</v>
      </c>
      <c r="E137" s="106">
        <v>21</v>
      </c>
      <c r="F137" s="106" t="s">
        <v>30</v>
      </c>
      <c r="G137" s="106">
        <v>25</v>
      </c>
      <c r="H137" s="109">
        <v>42870</v>
      </c>
    </row>
    <row r="138" spans="1:14" ht="15.75" thickBot="1" x14ac:dyDescent="0.3">
      <c r="A138" s="150" t="s">
        <v>225</v>
      </c>
      <c r="B138" s="151" t="s">
        <v>304</v>
      </c>
      <c r="E138" s="106">
        <v>26</v>
      </c>
      <c r="F138" s="106" t="s">
        <v>30</v>
      </c>
      <c r="G138" s="106">
        <v>30</v>
      </c>
      <c r="H138" s="109">
        <v>42871</v>
      </c>
    </row>
    <row r="139" spans="1:14" ht="15.75" thickBot="1" x14ac:dyDescent="0.3">
      <c r="A139" s="150" t="s">
        <v>206</v>
      </c>
      <c r="B139" s="151" t="s">
        <v>285</v>
      </c>
      <c r="E139" s="106">
        <v>31</v>
      </c>
      <c r="F139" s="106" t="s">
        <v>30</v>
      </c>
      <c r="G139" s="106">
        <v>35</v>
      </c>
      <c r="H139" s="109">
        <v>42843</v>
      </c>
    </row>
    <row r="140" spans="1:14" ht="15.75" thickBot="1" x14ac:dyDescent="0.3">
      <c r="A140" s="150" t="s">
        <v>207</v>
      </c>
      <c r="B140" s="151" t="s">
        <v>286</v>
      </c>
      <c r="E140" s="106">
        <v>36</v>
      </c>
      <c r="F140" s="106" t="s">
        <v>30</v>
      </c>
      <c r="G140" s="106">
        <v>40</v>
      </c>
      <c r="H140" s="109">
        <v>42844</v>
      </c>
    </row>
    <row r="141" spans="1:14" ht="15.75" thickBot="1" x14ac:dyDescent="0.3">
      <c r="A141" s="150" t="s">
        <v>208</v>
      </c>
      <c r="B141" s="151" t="s">
        <v>287</v>
      </c>
      <c r="E141" s="106">
        <v>41</v>
      </c>
      <c r="F141" s="106" t="s">
        <v>30</v>
      </c>
      <c r="G141" s="106">
        <v>45</v>
      </c>
      <c r="H141" s="109">
        <v>42845</v>
      </c>
    </row>
    <row r="142" spans="1:14" ht="15.75" thickBot="1" x14ac:dyDescent="0.3">
      <c r="A142" s="150" t="s">
        <v>209</v>
      </c>
      <c r="B142" s="151" t="s">
        <v>288</v>
      </c>
      <c r="E142" s="106">
        <v>46</v>
      </c>
      <c r="F142" s="106" t="s">
        <v>30</v>
      </c>
      <c r="G142" s="106">
        <v>50</v>
      </c>
      <c r="H142" s="109">
        <v>42846</v>
      </c>
    </row>
    <row r="143" spans="1:14" ht="15.75" thickBot="1" x14ac:dyDescent="0.3">
      <c r="A143" s="150" t="s">
        <v>210</v>
      </c>
      <c r="B143" s="151" t="s">
        <v>289</v>
      </c>
      <c r="E143" s="106">
        <v>51</v>
      </c>
      <c r="F143" s="106" t="s">
        <v>30</v>
      </c>
      <c r="G143" s="106">
        <v>55</v>
      </c>
      <c r="H143" s="109">
        <v>42849</v>
      </c>
    </row>
    <row r="144" spans="1:14" ht="15.75" thickBot="1" x14ac:dyDescent="0.3">
      <c r="A144" s="150" t="s">
        <v>211</v>
      </c>
      <c r="B144" s="151" t="s">
        <v>290</v>
      </c>
      <c r="E144" s="106">
        <v>56</v>
      </c>
      <c r="F144" s="106" t="s">
        <v>30</v>
      </c>
      <c r="G144" s="106">
        <v>60</v>
      </c>
      <c r="H144" s="109">
        <v>42850</v>
      </c>
    </row>
    <row r="145" spans="1:26" ht="15.75" thickBot="1" x14ac:dyDescent="0.3">
      <c r="A145" s="150" t="s">
        <v>212</v>
      </c>
      <c r="B145" s="151" t="s">
        <v>291</v>
      </c>
      <c r="E145" s="106">
        <v>61</v>
      </c>
      <c r="F145" s="106" t="s">
        <v>30</v>
      </c>
      <c r="G145" s="106">
        <v>65</v>
      </c>
      <c r="H145" s="109">
        <v>42851</v>
      </c>
    </row>
    <row r="146" spans="1:26" ht="15.75" thickBot="1" x14ac:dyDescent="0.3">
      <c r="A146" s="150" t="s">
        <v>213</v>
      </c>
      <c r="B146" s="151" t="s">
        <v>292</v>
      </c>
      <c r="E146" s="106">
        <v>66</v>
      </c>
      <c r="F146" s="106" t="s">
        <v>30</v>
      </c>
      <c r="G146" s="106">
        <v>70</v>
      </c>
      <c r="H146" s="109">
        <v>42852</v>
      </c>
    </row>
    <row r="147" spans="1:26" ht="15.75" thickBot="1" x14ac:dyDescent="0.3">
      <c r="A147" s="150" t="s">
        <v>214</v>
      </c>
      <c r="B147" s="151" t="s">
        <v>293</v>
      </c>
      <c r="E147" s="106">
        <v>71</v>
      </c>
      <c r="F147" s="106" t="s">
        <v>30</v>
      </c>
      <c r="G147" s="106">
        <v>75</v>
      </c>
      <c r="H147" s="109">
        <v>42853</v>
      </c>
    </row>
    <row r="148" spans="1:26" ht="15.75" thickBot="1" x14ac:dyDescent="0.3">
      <c r="A148" s="150" t="s">
        <v>215</v>
      </c>
      <c r="B148" s="151" t="s">
        <v>294</v>
      </c>
      <c r="E148" s="106">
        <v>76</v>
      </c>
      <c r="F148" s="106" t="s">
        <v>30</v>
      </c>
      <c r="G148" s="106">
        <v>80</v>
      </c>
      <c r="H148" s="109">
        <v>42857</v>
      </c>
    </row>
    <row r="149" spans="1:26" ht="15.75" thickBot="1" x14ac:dyDescent="0.3">
      <c r="A149" s="150" t="s">
        <v>216</v>
      </c>
      <c r="B149" s="151" t="s">
        <v>295</v>
      </c>
      <c r="E149" s="106">
        <v>81</v>
      </c>
      <c r="F149" s="106" t="s">
        <v>30</v>
      </c>
      <c r="G149" s="106">
        <v>85</v>
      </c>
      <c r="H149" s="109">
        <v>42858</v>
      </c>
    </row>
    <row r="150" spans="1:26" ht="15.75" thickBot="1" x14ac:dyDescent="0.3">
      <c r="A150" s="150" t="s">
        <v>217</v>
      </c>
      <c r="B150" s="151" t="s">
        <v>296</v>
      </c>
      <c r="E150" s="106">
        <v>86</v>
      </c>
      <c r="F150" s="106" t="s">
        <v>30</v>
      </c>
      <c r="G150" s="106">
        <v>90</v>
      </c>
      <c r="H150" s="109">
        <v>42859</v>
      </c>
    </row>
    <row r="151" spans="1:26" ht="15.75" thickBot="1" x14ac:dyDescent="0.3">
      <c r="A151" s="150" t="s">
        <v>218</v>
      </c>
      <c r="B151" s="151" t="s">
        <v>297</v>
      </c>
      <c r="E151" s="106">
        <v>91</v>
      </c>
      <c r="F151" s="106" t="s">
        <v>30</v>
      </c>
      <c r="G151" s="106">
        <v>95</v>
      </c>
      <c r="H151" s="109">
        <v>42860</v>
      </c>
    </row>
    <row r="152" spans="1:26" x14ac:dyDescent="0.25">
      <c r="A152" s="152" t="s">
        <v>219</v>
      </c>
      <c r="B152" s="153" t="s">
        <v>298</v>
      </c>
      <c r="E152" s="106">
        <v>96</v>
      </c>
      <c r="F152" s="106" t="s">
        <v>30</v>
      </c>
      <c r="G152" s="106">
        <v>0</v>
      </c>
      <c r="H152" s="109">
        <v>42863</v>
      </c>
    </row>
    <row r="156" spans="1:26" ht="17.25" x14ac:dyDescent="0.25">
      <c r="A156" s="222">
        <v>0</v>
      </c>
      <c r="B156" s="222" t="s">
        <v>508</v>
      </c>
      <c r="C156" s="112"/>
      <c r="D156" s="112"/>
      <c r="E156" s="111">
        <f t="shared" ref="E156:E165" si="30">+VALUE(LEFT(B156,2))</f>
        <v>8</v>
      </c>
      <c r="F156" s="110" t="str">
        <f t="shared" ref="F156:F165" si="31">MID(B156,FIND(" de ",B156)+3,FIND(" de ",B156,FIND(" de ",B156)+3)-FIND(" de ",B156)-3)</f>
        <v xml:space="preserve"> febrero</v>
      </c>
      <c r="G156" s="110" t="str">
        <f t="shared" ref="G156:G165" si="32">+MID(B156,FIND(" de 2",B156)+4,5)</f>
        <v>2019</v>
      </c>
      <c r="H156" s="109">
        <f t="shared" ref="H156:H165" si="33">DATEVALUE(E156&amp;"/"&amp;F156&amp;"/"&amp;G156)</f>
        <v>43504</v>
      </c>
      <c r="I156" s="222" t="s">
        <v>509</v>
      </c>
      <c r="J156" s="112"/>
      <c r="K156" s="112"/>
      <c r="L156" s="111">
        <f t="shared" ref="L156:L165" si="34">+VALUE(LEFT(I156,2))</f>
        <v>8</v>
      </c>
      <c r="M156" s="110" t="str">
        <f t="shared" ref="M156:M165" si="35">MID(I156,FIND(" de ",I156)+3,FIND(" de ",I156,FIND(" de ",I156)+3)-FIND(" de ",I156)-3)</f>
        <v xml:space="preserve"> marzo</v>
      </c>
      <c r="N156" s="110" t="str">
        <f t="shared" ref="N156:N165" si="36">+MID(I156,FIND(" de 2",I156)+4,5)</f>
        <v>2019</v>
      </c>
      <c r="O156" s="109">
        <f t="shared" ref="O156:O165" si="37">DATEVALUE(L156&amp;"/"&amp;M156&amp;"/"&amp;N156)</f>
        <v>43532</v>
      </c>
      <c r="P156" s="222" t="s">
        <v>412</v>
      </c>
      <c r="Q156" s="112"/>
      <c r="R156" s="112"/>
      <c r="S156" s="111">
        <f t="shared" ref="S156:S165" si="38">+VALUE(LEFT(P156,2))</f>
        <v>9</v>
      </c>
      <c r="T156" s="110" t="str">
        <f t="shared" ref="T156:T165" si="39">MID(P156,FIND(" de ",P156)+3,FIND(" de ",P156,FIND(" de ",P156)+3)-FIND(" de ",P156)-3)</f>
        <v xml:space="preserve"> abril</v>
      </c>
      <c r="U156" s="110" t="str">
        <f t="shared" ref="U156:U165" si="40">+MID(P156,FIND(" de 2",P156)+4,5)</f>
        <v>2019</v>
      </c>
      <c r="V156" s="109">
        <f t="shared" ref="V156:V165" si="41">DATEVALUE(S156&amp;"/"&amp;T156&amp;"/"&amp;U156)</f>
        <v>43564</v>
      </c>
      <c r="W156" s="222"/>
      <c r="X156" s="109">
        <f>+H156</f>
        <v>43504</v>
      </c>
      <c r="Y156" s="109">
        <f>+O156</f>
        <v>43532</v>
      </c>
      <c r="Z156" s="109">
        <f>+V156</f>
        <v>43564</v>
      </c>
    </row>
    <row r="157" spans="1:26" ht="17.25" x14ac:dyDescent="0.25">
      <c r="A157" s="222">
        <v>9</v>
      </c>
      <c r="B157" s="222" t="s">
        <v>510</v>
      </c>
      <c r="C157" s="112"/>
      <c r="D157" s="112"/>
      <c r="E157" s="111">
        <f t="shared" si="30"/>
        <v>11</v>
      </c>
      <c r="F157" s="110" t="str">
        <f t="shared" si="31"/>
        <v xml:space="preserve"> febrero</v>
      </c>
      <c r="G157" s="110" t="str">
        <f t="shared" si="32"/>
        <v>2019</v>
      </c>
      <c r="H157" s="109">
        <f t="shared" si="33"/>
        <v>43507</v>
      </c>
      <c r="I157" s="222" t="s">
        <v>511</v>
      </c>
      <c r="J157" s="112"/>
      <c r="K157" s="112"/>
      <c r="L157" s="111">
        <f t="shared" si="34"/>
        <v>11</v>
      </c>
      <c r="M157" s="110" t="str">
        <f t="shared" si="35"/>
        <v xml:space="preserve"> marzo</v>
      </c>
      <c r="N157" s="110" t="str">
        <f t="shared" si="36"/>
        <v>2019</v>
      </c>
      <c r="O157" s="109">
        <f t="shared" si="37"/>
        <v>43535</v>
      </c>
      <c r="P157" s="222" t="s">
        <v>408</v>
      </c>
      <c r="Q157" s="112"/>
      <c r="R157" s="112"/>
      <c r="S157" s="111">
        <f t="shared" si="38"/>
        <v>10</v>
      </c>
      <c r="T157" s="110" t="str">
        <f t="shared" si="39"/>
        <v xml:space="preserve"> abril</v>
      </c>
      <c r="U157" s="110" t="str">
        <f t="shared" si="40"/>
        <v>2019</v>
      </c>
      <c r="V157" s="109">
        <f t="shared" si="41"/>
        <v>43565</v>
      </c>
      <c r="W157" s="222"/>
      <c r="X157" s="109">
        <f t="shared" ref="X157:X165" si="42">+H157</f>
        <v>43507</v>
      </c>
      <c r="Y157" s="109">
        <f t="shared" ref="Y157:Y165" si="43">+O157</f>
        <v>43535</v>
      </c>
      <c r="Z157" s="109">
        <f t="shared" ref="Z157:Z165" si="44">+V157</f>
        <v>43565</v>
      </c>
    </row>
    <row r="158" spans="1:26" ht="17.25" x14ac:dyDescent="0.25">
      <c r="A158" s="222">
        <v>8</v>
      </c>
      <c r="B158" s="222" t="s">
        <v>512</v>
      </c>
      <c r="C158" s="112"/>
      <c r="D158" s="112"/>
      <c r="E158" s="111">
        <f t="shared" si="30"/>
        <v>12</v>
      </c>
      <c r="F158" s="110" t="str">
        <f t="shared" si="31"/>
        <v xml:space="preserve"> febrero</v>
      </c>
      <c r="G158" s="110" t="str">
        <f t="shared" si="32"/>
        <v>2019</v>
      </c>
      <c r="H158" s="109">
        <f t="shared" si="33"/>
        <v>43508</v>
      </c>
      <c r="I158" s="222" t="s">
        <v>513</v>
      </c>
      <c r="J158" s="112"/>
      <c r="K158" s="112"/>
      <c r="L158" s="111">
        <f t="shared" si="34"/>
        <v>12</v>
      </c>
      <c r="M158" s="110" t="str">
        <f t="shared" si="35"/>
        <v xml:space="preserve"> marzo</v>
      </c>
      <c r="N158" s="110" t="str">
        <f t="shared" si="36"/>
        <v>2019</v>
      </c>
      <c r="O158" s="109">
        <f t="shared" si="37"/>
        <v>43536</v>
      </c>
      <c r="P158" s="222" t="s">
        <v>409</v>
      </c>
      <c r="Q158" s="112"/>
      <c r="R158" s="112"/>
      <c r="S158" s="111">
        <f t="shared" si="38"/>
        <v>11</v>
      </c>
      <c r="T158" s="110" t="str">
        <f t="shared" si="39"/>
        <v xml:space="preserve"> abril</v>
      </c>
      <c r="U158" s="110" t="str">
        <f t="shared" si="40"/>
        <v>2019</v>
      </c>
      <c r="V158" s="109">
        <f t="shared" si="41"/>
        <v>43566</v>
      </c>
      <c r="W158" s="222"/>
      <c r="X158" s="109">
        <f t="shared" si="42"/>
        <v>43508</v>
      </c>
      <c r="Y158" s="109">
        <f t="shared" si="43"/>
        <v>43536</v>
      </c>
      <c r="Z158" s="109">
        <f t="shared" si="44"/>
        <v>43566</v>
      </c>
    </row>
    <row r="159" spans="1:26" ht="17.25" x14ac:dyDescent="0.25">
      <c r="A159" s="222">
        <v>7</v>
      </c>
      <c r="B159" s="222" t="s">
        <v>514</v>
      </c>
      <c r="C159" s="112"/>
      <c r="D159" s="112"/>
      <c r="E159" s="111">
        <f t="shared" si="30"/>
        <v>13</v>
      </c>
      <c r="F159" s="110" t="str">
        <f t="shared" si="31"/>
        <v xml:space="preserve"> febrero</v>
      </c>
      <c r="G159" s="110" t="str">
        <f t="shared" si="32"/>
        <v>2019</v>
      </c>
      <c r="H159" s="109">
        <f t="shared" si="33"/>
        <v>43509</v>
      </c>
      <c r="I159" s="222" t="s">
        <v>515</v>
      </c>
      <c r="J159" s="112"/>
      <c r="K159" s="112"/>
      <c r="L159" s="111">
        <f t="shared" si="34"/>
        <v>13</v>
      </c>
      <c r="M159" s="110" t="str">
        <f t="shared" si="35"/>
        <v xml:space="preserve"> marzo</v>
      </c>
      <c r="N159" s="110" t="str">
        <f t="shared" si="36"/>
        <v>2019</v>
      </c>
      <c r="O159" s="109">
        <f t="shared" si="37"/>
        <v>43537</v>
      </c>
      <c r="P159" s="222" t="s">
        <v>421</v>
      </c>
      <c r="Q159" s="112"/>
      <c r="R159" s="112"/>
      <c r="S159" s="111">
        <f t="shared" si="38"/>
        <v>12</v>
      </c>
      <c r="T159" s="110" t="str">
        <f t="shared" si="39"/>
        <v xml:space="preserve"> abril</v>
      </c>
      <c r="U159" s="110" t="str">
        <f t="shared" si="40"/>
        <v>2019</v>
      </c>
      <c r="V159" s="109">
        <f t="shared" si="41"/>
        <v>43567</v>
      </c>
      <c r="W159" s="222"/>
      <c r="X159" s="109">
        <f t="shared" si="42"/>
        <v>43509</v>
      </c>
      <c r="Y159" s="109">
        <f t="shared" si="43"/>
        <v>43537</v>
      </c>
      <c r="Z159" s="109">
        <f t="shared" si="44"/>
        <v>43567</v>
      </c>
    </row>
    <row r="160" spans="1:26" ht="17.25" x14ac:dyDescent="0.25">
      <c r="A160" s="222">
        <v>6</v>
      </c>
      <c r="B160" s="222" t="s">
        <v>516</v>
      </c>
      <c r="C160" s="112"/>
      <c r="D160" s="112"/>
      <c r="E160" s="111">
        <f t="shared" si="30"/>
        <v>14</v>
      </c>
      <c r="F160" s="110" t="str">
        <f t="shared" si="31"/>
        <v xml:space="preserve"> febrero</v>
      </c>
      <c r="G160" s="110" t="str">
        <f t="shared" si="32"/>
        <v>2019</v>
      </c>
      <c r="H160" s="109">
        <f t="shared" si="33"/>
        <v>43510</v>
      </c>
      <c r="I160" s="222" t="s">
        <v>517</v>
      </c>
      <c r="J160" s="112"/>
      <c r="K160" s="112"/>
      <c r="L160" s="111">
        <f t="shared" si="34"/>
        <v>14</v>
      </c>
      <c r="M160" s="110" t="str">
        <f t="shared" si="35"/>
        <v xml:space="preserve"> marzo</v>
      </c>
      <c r="N160" s="110" t="str">
        <f t="shared" si="36"/>
        <v>2019</v>
      </c>
      <c r="O160" s="109">
        <f t="shared" si="37"/>
        <v>43538</v>
      </c>
      <c r="P160" s="222" t="s">
        <v>410</v>
      </c>
      <c r="Q160" s="112"/>
      <c r="R160" s="112"/>
      <c r="S160" s="111">
        <f t="shared" si="38"/>
        <v>15</v>
      </c>
      <c r="T160" s="110" t="str">
        <f t="shared" si="39"/>
        <v xml:space="preserve"> abril</v>
      </c>
      <c r="U160" s="110" t="str">
        <f t="shared" si="40"/>
        <v>2019</v>
      </c>
      <c r="V160" s="109">
        <f t="shared" si="41"/>
        <v>43570</v>
      </c>
      <c r="W160" s="222"/>
      <c r="X160" s="109">
        <f t="shared" si="42"/>
        <v>43510</v>
      </c>
      <c r="Y160" s="109">
        <f t="shared" si="43"/>
        <v>43538</v>
      </c>
      <c r="Z160" s="109">
        <f t="shared" si="44"/>
        <v>43570</v>
      </c>
    </row>
    <row r="161" spans="1:26" ht="17.25" x14ac:dyDescent="0.25">
      <c r="A161" s="222">
        <v>5</v>
      </c>
      <c r="B161" s="222" t="s">
        <v>518</v>
      </c>
      <c r="C161" s="112"/>
      <c r="D161" s="112"/>
      <c r="E161" s="111">
        <f t="shared" si="30"/>
        <v>15</v>
      </c>
      <c r="F161" s="110" t="str">
        <f t="shared" si="31"/>
        <v xml:space="preserve"> febrero</v>
      </c>
      <c r="G161" s="110" t="str">
        <f t="shared" si="32"/>
        <v>2019</v>
      </c>
      <c r="H161" s="109">
        <f t="shared" si="33"/>
        <v>43511</v>
      </c>
      <c r="I161" s="222" t="s">
        <v>519</v>
      </c>
      <c r="J161" s="112"/>
      <c r="K161" s="112"/>
      <c r="L161" s="111">
        <f t="shared" si="34"/>
        <v>15</v>
      </c>
      <c r="M161" s="110" t="str">
        <f t="shared" si="35"/>
        <v xml:space="preserve"> marzo</v>
      </c>
      <c r="N161" s="110" t="str">
        <f t="shared" si="36"/>
        <v>2019</v>
      </c>
      <c r="O161" s="109">
        <f t="shared" si="37"/>
        <v>43539</v>
      </c>
      <c r="P161" s="222" t="s">
        <v>422</v>
      </c>
      <c r="Q161" s="112"/>
      <c r="R161" s="112"/>
      <c r="S161" s="111">
        <f t="shared" si="38"/>
        <v>16</v>
      </c>
      <c r="T161" s="110" t="str">
        <f t="shared" si="39"/>
        <v xml:space="preserve"> abril</v>
      </c>
      <c r="U161" s="110" t="str">
        <f t="shared" si="40"/>
        <v>2019</v>
      </c>
      <c r="V161" s="109">
        <f t="shared" si="41"/>
        <v>43571</v>
      </c>
      <c r="W161" s="222"/>
      <c r="X161" s="109">
        <f t="shared" si="42"/>
        <v>43511</v>
      </c>
      <c r="Y161" s="109">
        <f t="shared" si="43"/>
        <v>43539</v>
      </c>
      <c r="Z161" s="109">
        <f t="shared" si="44"/>
        <v>43571</v>
      </c>
    </row>
    <row r="162" spans="1:26" ht="17.25" x14ac:dyDescent="0.25">
      <c r="A162" s="222">
        <v>4</v>
      </c>
      <c r="B162" s="222" t="s">
        <v>520</v>
      </c>
      <c r="C162" s="112"/>
      <c r="D162" s="112"/>
      <c r="E162" s="111">
        <f t="shared" si="30"/>
        <v>18</v>
      </c>
      <c r="F162" s="110" t="str">
        <f t="shared" si="31"/>
        <v xml:space="preserve"> febrero</v>
      </c>
      <c r="G162" s="110" t="str">
        <f t="shared" si="32"/>
        <v>2019</v>
      </c>
      <c r="H162" s="109">
        <f t="shared" si="33"/>
        <v>43514</v>
      </c>
      <c r="I162" s="222" t="s">
        <v>521</v>
      </c>
      <c r="J162" s="112"/>
      <c r="K162" s="112"/>
      <c r="L162" s="111">
        <f t="shared" si="34"/>
        <v>18</v>
      </c>
      <c r="M162" s="110" t="str">
        <f t="shared" si="35"/>
        <v xml:space="preserve"> marzo</v>
      </c>
      <c r="N162" s="110" t="str">
        <f t="shared" si="36"/>
        <v>2019</v>
      </c>
      <c r="O162" s="109">
        <f t="shared" si="37"/>
        <v>43542</v>
      </c>
      <c r="P162" s="222" t="s">
        <v>423</v>
      </c>
      <c r="Q162" s="112"/>
      <c r="R162" s="112"/>
      <c r="S162" s="111">
        <f t="shared" si="38"/>
        <v>22</v>
      </c>
      <c r="T162" s="110" t="str">
        <f t="shared" si="39"/>
        <v xml:space="preserve"> abril</v>
      </c>
      <c r="U162" s="110" t="str">
        <f t="shared" si="40"/>
        <v>2019</v>
      </c>
      <c r="V162" s="109">
        <f t="shared" si="41"/>
        <v>43577</v>
      </c>
      <c r="W162" s="222"/>
      <c r="X162" s="109">
        <f t="shared" si="42"/>
        <v>43514</v>
      </c>
      <c r="Y162" s="109">
        <f t="shared" si="43"/>
        <v>43542</v>
      </c>
      <c r="Z162" s="109">
        <f t="shared" si="44"/>
        <v>43577</v>
      </c>
    </row>
    <row r="163" spans="1:26" ht="17.25" x14ac:dyDescent="0.25">
      <c r="A163" s="222">
        <v>3</v>
      </c>
      <c r="B163" s="222" t="s">
        <v>522</v>
      </c>
      <c r="C163" s="112"/>
      <c r="D163" s="112"/>
      <c r="E163" s="111">
        <f t="shared" si="30"/>
        <v>19</v>
      </c>
      <c r="F163" s="110" t="str">
        <f t="shared" si="31"/>
        <v xml:space="preserve"> febrero</v>
      </c>
      <c r="G163" s="110" t="str">
        <f t="shared" si="32"/>
        <v>2019</v>
      </c>
      <c r="H163" s="109">
        <f t="shared" si="33"/>
        <v>43515</v>
      </c>
      <c r="I163" s="222" t="s">
        <v>523</v>
      </c>
      <c r="J163" s="112"/>
      <c r="K163" s="112"/>
      <c r="L163" s="111">
        <f t="shared" si="34"/>
        <v>19</v>
      </c>
      <c r="M163" s="110" t="str">
        <f t="shared" si="35"/>
        <v xml:space="preserve"> marzo</v>
      </c>
      <c r="N163" s="110" t="str">
        <f t="shared" si="36"/>
        <v>2019</v>
      </c>
      <c r="O163" s="109">
        <f t="shared" si="37"/>
        <v>43543</v>
      </c>
      <c r="P163" s="222" t="s">
        <v>424</v>
      </c>
      <c r="Q163" s="112"/>
      <c r="R163" s="112"/>
      <c r="S163" s="111">
        <f t="shared" si="38"/>
        <v>23</v>
      </c>
      <c r="T163" s="110" t="str">
        <f t="shared" si="39"/>
        <v xml:space="preserve"> abril</v>
      </c>
      <c r="U163" s="110" t="str">
        <f t="shared" si="40"/>
        <v>2019</v>
      </c>
      <c r="V163" s="109">
        <f t="shared" si="41"/>
        <v>43578</v>
      </c>
      <c r="W163" s="222"/>
      <c r="X163" s="109">
        <f t="shared" si="42"/>
        <v>43515</v>
      </c>
      <c r="Y163" s="109">
        <f t="shared" si="43"/>
        <v>43543</v>
      </c>
      <c r="Z163" s="109">
        <f t="shared" si="44"/>
        <v>43578</v>
      </c>
    </row>
    <row r="164" spans="1:26" ht="17.25" x14ac:dyDescent="0.25">
      <c r="A164" s="222">
        <v>2</v>
      </c>
      <c r="B164" s="222" t="s">
        <v>524</v>
      </c>
      <c r="C164" s="112"/>
      <c r="D164" s="112"/>
      <c r="E164" s="111">
        <f t="shared" si="30"/>
        <v>20</v>
      </c>
      <c r="F164" s="110" t="str">
        <f t="shared" si="31"/>
        <v xml:space="preserve"> febrero</v>
      </c>
      <c r="G164" s="110" t="str">
        <f t="shared" si="32"/>
        <v>2019</v>
      </c>
      <c r="H164" s="109">
        <f t="shared" si="33"/>
        <v>43516</v>
      </c>
      <c r="I164" s="222" t="s">
        <v>525</v>
      </c>
      <c r="J164" s="112"/>
      <c r="K164" s="112"/>
      <c r="L164" s="111">
        <f t="shared" si="34"/>
        <v>20</v>
      </c>
      <c r="M164" s="110" t="str">
        <f t="shared" si="35"/>
        <v xml:space="preserve"> marzo</v>
      </c>
      <c r="N164" s="110" t="str">
        <f t="shared" si="36"/>
        <v>2019</v>
      </c>
      <c r="O164" s="109">
        <f t="shared" si="37"/>
        <v>43544</v>
      </c>
      <c r="P164" s="222" t="s">
        <v>411</v>
      </c>
      <c r="Q164" s="112"/>
      <c r="R164" s="112"/>
      <c r="S164" s="111">
        <f t="shared" si="38"/>
        <v>24</v>
      </c>
      <c r="T164" s="110" t="str">
        <f t="shared" si="39"/>
        <v xml:space="preserve"> abril</v>
      </c>
      <c r="U164" s="110" t="str">
        <f t="shared" si="40"/>
        <v>2019</v>
      </c>
      <c r="V164" s="109">
        <f t="shared" si="41"/>
        <v>43579</v>
      </c>
      <c r="W164" s="222"/>
      <c r="X164" s="109">
        <f t="shared" si="42"/>
        <v>43516</v>
      </c>
      <c r="Y164" s="109">
        <f t="shared" si="43"/>
        <v>43544</v>
      </c>
      <c r="Z164" s="109">
        <f t="shared" si="44"/>
        <v>43579</v>
      </c>
    </row>
    <row r="165" spans="1:26" ht="17.25" x14ac:dyDescent="0.25">
      <c r="A165" s="222">
        <v>1</v>
      </c>
      <c r="B165" s="222" t="s">
        <v>526</v>
      </c>
      <c r="C165" s="112"/>
      <c r="D165" s="112"/>
      <c r="E165" s="143">
        <f t="shared" si="30"/>
        <v>21</v>
      </c>
      <c r="F165" s="144" t="str">
        <f t="shared" si="31"/>
        <v xml:space="preserve"> febrero</v>
      </c>
      <c r="G165" s="144" t="str">
        <f t="shared" si="32"/>
        <v>2019</v>
      </c>
      <c r="H165" s="145">
        <f t="shared" si="33"/>
        <v>43517</v>
      </c>
      <c r="I165" s="222" t="s">
        <v>527</v>
      </c>
      <c r="J165" s="112"/>
      <c r="K165" s="112"/>
      <c r="L165" s="143">
        <f t="shared" si="34"/>
        <v>21</v>
      </c>
      <c r="M165" s="144" t="str">
        <f t="shared" si="35"/>
        <v xml:space="preserve"> marzo</v>
      </c>
      <c r="N165" s="144" t="str">
        <f t="shared" si="36"/>
        <v>2019</v>
      </c>
      <c r="O165" s="145">
        <f t="shared" si="37"/>
        <v>43545</v>
      </c>
      <c r="P165" s="222" t="s">
        <v>425</v>
      </c>
      <c r="Q165" s="112"/>
      <c r="R165" s="112"/>
      <c r="S165" s="143">
        <f t="shared" si="38"/>
        <v>25</v>
      </c>
      <c r="T165" s="144" t="str">
        <f t="shared" si="39"/>
        <v xml:space="preserve"> abril</v>
      </c>
      <c r="U165" s="144" t="str">
        <f t="shared" si="40"/>
        <v>2019</v>
      </c>
      <c r="V165" s="145">
        <f t="shared" si="41"/>
        <v>43580</v>
      </c>
      <c r="W165" s="222"/>
      <c r="X165" s="109">
        <f t="shared" si="42"/>
        <v>43517</v>
      </c>
      <c r="Y165" s="109">
        <f t="shared" si="43"/>
        <v>43545</v>
      </c>
      <c r="Z165" s="109">
        <f t="shared" si="44"/>
        <v>43580</v>
      </c>
    </row>
    <row r="166" spans="1:26" x14ac:dyDescent="0.25">
      <c r="A166" s="222"/>
      <c r="B166" s="222"/>
      <c r="C166" s="222"/>
      <c r="D166" s="222"/>
      <c r="E166" s="222"/>
      <c r="F166" s="222"/>
      <c r="G166" s="222"/>
      <c r="H166" s="222"/>
      <c r="I166" s="222"/>
      <c r="J166" s="222"/>
      <c r="K166" s="222"/>
      <c r="L166" s="222"/>
      <c r="M166" s="222"/>
      <c r="N166" s="222"/>
      <c r="O166" s="222"/>
      <c r="P166" s="222"/>
      <c r="Q166" s="222"/>
      <c r="R166" s="222"/>
      <c r="S166" s="222"/>
      <c r="T166" s="222"/>
      <c r="U166" s="222"/>
      <c r="V166" s="222"/>
      <c r="W166" s="222"/>
      <c r="X166" s="222"/>
      <c r="Y166" s="222"/>
      <c r="Z166" s="222"/>
    </row>
    <row r="167" spans="1:26" x14ac:dyDescent="0.25">
      <c r="A167" s="222"/>
      <c r="B167" s="222"/>
      <c r="C167" s="222"/>
      <c r="D167" s="222"/>
      <c r="E167" s="222"/>
      <c r="F167" s="222"/>
      <c r="G167" s="222"/>
      <c r="H167" s="222"/>
      <c r="I167" s="222"/>
      <c r="J167" s="222"/>
      <c r="K167" s="222"/>
      <c r="L167" s="222"/>
      <c r="M167" s="222"/>
      <c r="N167" s="222"/>
      <c r="O167" s="222"/>
      <c r="P167" s="222"/>
      <c r="Q167" s="222"/>
      <c r="R167" s="222"/>
      <c r="S167" s="222"/>
      <c r="T167" s="222"/>
      <c r="U167" s="222"/>
      <c r="V167" s="222"/>
      <c r="W167" s="222"/>
      <c r="X167" s="222"/>
      <c r="Y167" s="222"/>
      <c r="Z167" s="222"/>
    </row>
    <row r="168" spans="1:26" x14ac:dyDescent="0.25">
      <c r="A168" s="222"/>
      <c r="B168" s="222"/>
      <c r="C168" s="222"/>
      <c r="D168" s="222"/>
      <c r="E168" s="222"/>
      <c r="F168" s="222"/>
      <c r="G168" s="222"/>
      <c r="H168" s="222"/>
      <c r="I168" s="222"/>
      <c r="J168" s="222"/>
      <c r="K168" s="222"/>
      <c r="L168" s="222"/>
      <c r="M168" s="222"/>
      <c r="N168" s="222"/>
      <c r="O168" s="222"/>
      <c r="P168" s="222"/>
      <c r="Q168" s="222"/>
      <c r="R168" s="222"/>
      <c r="S168" s="222"/>
      <c r="T168" s="222"/>
      <c r="U168" s="222"/>
      <c r="V168" s="222"/>
      <c r="W168" s="222"/>
      <c r="X168" s="222"/>
      <c r="Y168" s="222"/>
      <c r="Z168" s="222"/>
    </row>
    <row r="169" spans="1:26" ht="17.25" x14ac:dyDescent="0.25">
      <c r="A169" s="222">
        <v>0</v>
      </c>
      <c r="B169" s="222" t="s">
        <v>426</v>
      </c>
      <c r="C169" s="112"/>
      <c r="D169" s="112"/>
      <c r="E169" s="111">
        <f t="shared" ref="E169:E178" si="45">+VALUE(LEFT(B169,2))</f>
        <v>9</v>
      </c>
      <c r="F169" s="110" t="str">
        <f t="shared" ref="F169:F178" si="46">MID(B169,FIND(" de ",B169)+3,FIND(" de ",B169,FIND(" de ",B169)+3)-FIND(" de ",B169)-3)</f>
        <v xml:space="preserve"> mayo</v>
      </c>
      <c r="G169" s="110" t="str">
        <f t="shared" ref="G169:G178" si="47">+MID(B169,FIND(" de 2",B169)+4,5)</f>
        <v>2019</v>
      </c>
      <c r="H169" s="109">
        <f t="shared" ref="H169:H178" si="48">DATEVALUE(E169&amp;"/"&amp;F169&amp;"/"&amp;G169)</f>
        <v>43594</v>
      </c>
      <c r="I169" s="222" t="s">
        <v>429</v>
      </c>
      <c r="J169" s="112"/>
      <c r="K169" s="112"/>
      <c r="L169" s="111">
        <f t="shared" ref="L169:L178" si="49">+VALUE(LEFT(I169,2))</f>
        <v>11</v>
      </c>
      <c r="M169" s="110" t="str">
        <f t="shared" ref="M169:M178" si="50">MID(I169,FIND(" de ",I169)+3,FIND(" de ",I169,FIND(" de ",I169)+3)-FIND(" de ",I169)-3)</f>
        <v xml:space="preserve"> junio</v>
      </c>
      <c r="N169" s="110" t="str">
        <f t="shared" ref="N169:N178" si="51">+MID(I169,FIND(" de 2",I169)+4,5)</f>
        <v>2019</v>
      </c>
      <c r="O169" s="109">
        <f t="shared" ref="O169:O178" si="52">DATEVALUE(L169&amp;"/"&amp;M169&amp;"/"&amp;N169)</f>
        <v>43627</v>
      </c>
      <c r="P169" s="222" t="s">
        <v>528</v>
      </c>
      <c r="Q169" s="112"/>
      <c r="R169" s="112"/>
      <c r="S169" s="111">
        <f t="shared" ref="S169:S178" si="53">+VALUE(LEFT(P169,2))</f>
        <v>9</v>
      </c>
      <c r="T169" s="110" t="str">
        <f t="shared" ref="T169:T178" si="54">MID(P169,FIND(" de ",P169)+3,FIND(" de ",P169,FIND(" de ",P169)+3)-FIND(" de ",P169)-3)</f>
        <v xml:space="preserve"> julio</v>
      </c>
      <c r="U169" s="110" t="str">
        <f t="shared" ref="U169:U178" si="55">+MID(P169,FIND(" de 2",P169)+4,5)</f>
        <v>2019</v>
      </c>
      <c r="V169" s="109">
        <f t="shared" ref="V169:V178" si="56">DATEVALUE(S169&amp;"/"&amp;T169&amp;"/"&amp;U169)</f>
        <v>43655</v>
      </c>
      <c r="W169" s="222"/>
      <c r="X169" s="109">
        <f>+H169</f>
        <v>43594</v>
      </c>
      <c r="Y169" s="109">
        <f>+O169</f>
        <v>43627</v>
      </c>
      <c r="Z169" s="109">
        <f>+V169</f>
        <v>43655</v>
      </c>
    </row>
    <row r="170" spans="1:26" ht="17.25" x14ac:dyDescent="0.25">
      <c r="A170" s="222">
        <v>9</v>
      </c>
      <c r="B170" s="222" t="s">
        <v>427</v>
      </c>
      <c r="C170" s="112"/>
      <c r="D170" s="112"/>
      <c r="E170" s="111">
        <f t="shared" si="45"/>
        <v>10</v>
      </c>
      <c r="F170" s="110" t="str">
        <f t="shared" si="46"/>
        <v xml:space="preserve"> mayo</v>
      </c>
      <c r="G170" s="110" t="str">
        <f t="shared" si="47"/>
        <v>2019</v>
      </c>
      <c r="H170" s="109">
        <f t="shared" si="48"/>
        <v>43595</v>
      </c>
      <c r="I170" s="222" t="s">
        <v>428</v>
      </c>
      <c r="J170" s="112"/>
      <c r="K170" s="112"/>
      <c r="L170" s="111">
        <f t="shared" si="49"/>
        <v>12</v>
      </c>
      <c r="M170" s="110" t="str">
        <f t="shared" si="50"/>
        <v xml:space="preserve"> junio</v>
      </c>
      <c r="N170" s="110" t="str">
        <f t="shared" si="51"/>
        <v>2019</v>
      </c>
      <c r="O170" s="109">
        <f t="shared" si="52"/>
        <v>43628</v>
      </c>
      <c r="P170" s="222" t="s">
        <v>529</v>
      </c>
      <c r="Q170" s="112"/>
      <c r="R170" s="112"/>
      <c r="S170" s="111">
        <f t="shared" si="53"/>
        <v>10</v>
      </c>
      <c r="T170" s="110" t="str">
        <f t="shared" si="54"/>
        <v xml:space="preserve"> julio</v>
      </c>
      <c r="U170" s="110" t="str">
        <f t="shared" si="55"/>
        <v>2019</v>
      </c>
      <c r="V170" s="109">
        <f t="shared" si="56"/>
        <v>43656</v>
      </c>
      <c r="W170" s="222"/>
      <c r="X170" s="109">
        <f t="shared" ref="X170:X178" si="57">+H170</f>
        <v>43595</v>
      </c>
      <c r="Y170" s="109">
        <f t="shared" ref="Y170:Y178" si="58">+O170</f>
        <v>43628</v>
      </c>
      <c r="Z170" s="109">
        <f t="shared" ref="Z170:Z178" si="59">+V170</f>
        <v>43656</v>
      </c>
    </row>
    <row r="171" spans="1:26" ht="17.25" x14ac:dyDescent="0.25">
      <c r="A171" s="222">
        <v>8</v>
      </c>
      <c r="B171" s="222" t="s">
        <v>530</v>
      </c>
      <c r="C171" s="112"/>
      <c r="D171" s="112"/>
      <c r="E171" s="111">
        <f t="shared" si="45"/>
        <v>13</v>
      </c>
      <c r="F171" s="110" t="str">
        <f t="shared" si="46"/>
        <v xml:space="preserve"> mayo</v>
      </c>
      <c r="G171" s="110" t="str">
        <f t="shared" si="47"/>
        <v>2019</v>
      </c>
      <c r="H171" s="109">
        <f t="shared" si="48"/>
        <v>43598</v>
      </c>
      <c r="I171" s="222" t="s">
        <v>413</v>
      </c>
      <c r="J171" s="112"/>
      <c r="K171" s="112"/>
      <c r="L171" s="111">
        <f t="shared" si="49"/>
        <v>13</v>
      </c>
      <c r="M171" s="110" t="str">
        <f t="shared" si="50"/>
        <v xml:space="preserve"> junio</v>
      </c>
      <c r="N171" s="110" t="str">
        <f t="shared" si="51"/>
        <v>2019</v>
      </c>
      <c r="O171" s="109">
        <f t="shared" si="52"/>
        <v>43629</v>
      </c>
      <c r="P171" s="222" t="s">
        <v>531</v>
      </c>
      <c r="Q171" s="112"/>
      <c r="R171" s="112"/>
      <c r="S171" s="111">
        <f t="shared" si="53"/>
        <v>11</v>
      </c>
      <c r="T171" s="110" t="str">
        <f t="shared" si="54"/>
        <v xml:space="preserve"> julio</v>
      </c>
      <c r="U171" s="110" t="str">
        <f t="shared" si="55"/>
        <v>2019</v>
      </c>
      <c r="V171" s="109">
        <f t="shared" si="56"/>
        <v>43657</v>
      </c>
      <c r="W171" s="222"/>
      <c r="X171" s="109">
        <f t="shared" si="57"/>
        <v>43598</v>
      </c>
      <c r="Y171" s="109">
        <f t="shared" si="58"/>
        <v>43629</v>
      </c>
      <c r="Z171" s="109">
        <f t="shared" si="59"/>
        <v>43657</v>
      </c>
    </row>
    <row r="172" spans="1:26" ht="17.25" x14ac:dyDescent="0.25">
      <c r="A172" s="222">
        <v>7</v>
      </c>
      <c r="B172" s="222" t="s">
        <v>532</v>
      </c>
      <c r="C172" s="112"/>
      <c r="D172" s="112"/>
      <c r="E172" s="111">
        <f t="shared" si="45"/>
        <v>14</v>
      </c>
      <c r="F172" s="110" t="str">
        <f t="shared" si="46"/>
        <v xml:space="preserve"> mayo</v>
      </c>
      <c r="G172" s="110" t="str">
        <f t="shared" si="47"/>
        <v>2019</v>
      </c>
      <c r="H172" s="109">
        <f t="shared" si="48"/>
        <v>43599</v>
      </c>
      <c r="I172" s="222" t="s">
        <v>414</v>
      </c>
      <c r="J172" s="112"/>
      <c r="K172" s="112"/>
      <c r="L172" s="111">
        <f t="shared" si="49"/>
        <v>14</v>
      </c>
      <c r="M172" s="110" t="str">
        <f t="shared" si="50"/>
        <v xml:space="preserve"> junio</v>
      </c>
      <c r="N172" s="110" t="str">
        <f t="shared" si="51"/>
        <v>2019</v>
      </c>
      <c r="O172" s="109">
        <f t="shared" si="52"/>
        <v>43630</v>
      </c>
      <c r="P172" s="222" t="s">
        <v>533</v>
      </c>
      <c r="Q172" s="112"/>
      <c r="R172" s="112"/>
      <c r="S172" s="111">
        <f t="shared" si="53"/>
        <v>12</v>
      </c>
      <c r="T172" s="110" t="str">
        <f t="shared" si="54"/>
        <v xml:space="preserve"> julio</v>
      </c>
      <c r="U172" s="110" t="str">
        <f t="shared" si="55"/>
        <v>2019</v>
      </c>
      <c r="V172" s="109">
        <f t="shared" si="56"/>
        <v>43658</v>
      </c>
      <c r="W172" s="222"/>
      <c r="X172" s="109">
        <f t="shared" si="57"/>
        <v>43599</v>
      </c>
      <c r="Y172" s="109">
        <f t="shared" si="58"/>
        <v>43630</v>
      </c>
      <c r="Z172" s="109">
        <f t="shared" si="59"/>
        <v>43658</v>
      </c>
    </row>
    <row r="173" spans="1:26" ht="17.25" x14ac:dyDescent="0.25">
      <c r="A173" s="222">
        <v>6</v>
      </c>
      <c r="B173" s="222" t="s">
        <v>534</v>
      </c>
      <c r="C173" s="112"/>
      <c r="D173" s="112"/>
      <c r="E173" s="111">
        <f t="shared" si="45"/>
        <v>15</v>
      </c>
      <c r="F173" s="110" t="str">
        <f t="shared" si="46"/>
        <v xml:space="preserve"> mayo</v>
      </c>
      <c r="G173" s="110" t="str">
        <f t="shared" si="47"/>
        <v>2019</v>
      </c>
      <c r="H173" s="109">
        <f t="shared" si="48"/>
        <v>43600</v>
      </c>
      <c r="I173" s="222" t="s">
        <v>415</v>
      </c>
      <c r="J173" s="112"/>
      <c r="K173" s="112"/>
      <c r="L173" s="111">
        <f t="shared" si="49"/>
        <v>17</v>
      </c>
      <c r="M173" s="110" t="str">
        <f t="shared" si="50"/>
        <v xml:space="preserve"> junio</v>
      </c>
      <c r="N173" s="110" t="str">
        <f t="shared" si="51"/>
        <v>2019</v>
      </c>
      <c r="O173" s="109">
        <f t="shared" si="52"/>
        <v>43633</v>
      </c>
      <c r="P173" s="222" t="s">
        <v>535</v>
      </c>
      <c r="Q173" s="112"/>
      <c r="R173" s="112"/>
      <c r="S173" s="111">
        <f t="shared" si="53"/>
        <v>15</v>
      </c>
      <c r="T173" s="110" t="str">
        <f t="shared" si="54"/>
        <v xml:space="preserve"> julio</v>
      </c>
      <c r="U173" s="110" t="str">
        <f t="shared" si="55"/>
        <v>2019</v>
      </c>
      <c r="V173" s="109">
        <f t="shared" si="56"/>
        <v>43661</v>
      </c>
      <c r="W173" s="222"/>
      <c r="X173" s="109">
        <f t="shared" si="57"/>
        <v>43600</v>
      </c>
      <c r="Y173" s="109">
        <f t="shared" si="58"/>
        <v>43633</v>
      </c>
      <c r="Z173" s="109">
        <f t="shared" si="59"/>
        <v>43661</v>
      </c>
    </row>
    <row r="174" spans="1:26" ht="17.25" x14ac:dyDescent="0.25">
      <c r="A174" s="222">
        <v>5</v>
      </c>
      <c r="B174" s="222" t="s">
        <v>536</v>
      </c>
      <c r="C174" s="112"/>
      <c r="D174" s="112"/>
      <c r="E174" s="111">
        <f t="shared" si="45"/>
        <v>16</v>
      </c>
      <c r="F174" s="110" t="str">
        <f t="shared" si="46"/>
        <v xml:space="preserve"> mayo</v>
      </c>
      <c r="G174" s="110" t="str">
        <f t="shared" si="47"/>
        <v>2019</v>
      </c>
      <c r="H174" s="109">
        <f t="shared" si="48"/>
        <v>43601</v>
      </c>
      <c r="I174" s="222" t="s">
        <v>537</v>
      </c>
      <c r="J174" s="112"/>
      <c r="K174" s="112"/>
      <c r="L174" s="111">
        <f t="shared" si="49"/>
        <v>18</v>
      </c>
      <c r="M174" s="110" t="str">
        <f t="shared" si="50"/>
        <v xml:space="preserve"> juniO</v>
      </c>
      <c r="N174" s="110" t="str">
        <f t="shared" si="51"/>
        <v>2019</v>
      </c>
      <c r="O174" s="109">
        <f t="shared" si="52"/>
        <v>43634</v>
      </c>
      <c r="P174" s="222" t="s">
        <v>538</v>
      </c>
      <c r="Q174" s="112"/>
      <c r="R174" s="112"/>
      <c r="S174" s="111">
        <f t="shared" si="53"/>
        <v>16</v>
      </c>
      <c r="T174" s="110" t="str">
        <f t="shared" si="54"/>
        <v xml:space="preserve"> julio</v>
      </c>
      <c r="U174" s="110" t="str">
        <f t="shared" si="55"/>
        <v>2019</v>
      </c>
      <c r="V174" s="109">
        <f t="shared" si="56"/>
        <v>43662</v>
      </c>
      <c r="W174" s="222"/>
      <c r="X174" s="109">
        <f t="shared" si="57"/>
        <v>43601</v>
      </c>
      <c r="Y174" s="109">
        <f t="shared" si="58"/>
        <v>43634</v>
      </c>
      <c r="Z174" s="109">
        <f t="shared" si="59"/>
        <v>43662</v>
      </c>
    </row>
    <row r="175" spans="1:26" ht="17.25" x14ac:dyDescent="0.25">
      <c r="A175" s="222">
        <v>4</v>
      </c>
      <c r="B175" s="222" t="s">
        <v>539</v>
      </c>
      <c r="C175" s="112"/>
      <c r="D175" s="112"/>
      <c r="E175" s="111">
        <f t="shared" si="45"/>
        <v>17</v>
      </c>
      <c r="F175" s="110" t="str">
        <f t="shared" si="46"/>
        <v xml:space="preserve"> mayo</v>
      </c>
      <c r="G175" s="110" t="str">
        <f t="shared" si="47"/>
        <v>2019</v>
      </c>
      <c r="H175" s="109">
        <f t="shared" si="48"/>
        <v>43602</v>
      </c>
      <c r="I175" s="222" t="s">
        <v>416</v>
      </c>
      <c r="J175" s="112"/>
      <c r="K175" s="112"/>
      <c r="L175" s="111">
        <f t="shared" si="49"/>
        <v>19</v>
      </c>
      <c r="M175" s="110" t="str">
        <f t="shared" si="50"/>
        <v xml:space="preserve"> junio</v>
      </c>
      <c r="N175" s="110" t="str">
        <f t="shared" si="51"/>
        <v>2019</v>
      </c>
      <c r="O175" s="109">
        <f t="shared" si="52"/>
        <v>43635</v>
      </c>
      <c r="P175" s="222" t="s">
        <v>540</v>
      </c>
      <c r="Q175" s="112"/>
      <c r="R175" s="112"/>
      <c r="S175" s="111">
        <f t="shared" si="53"/>
        <v>17</v>
      </c>
      <c r="T175" s="110" t="str">
        <f t="shared" si="54"/>
        <v xml:space="preserve"> julio</v>
      </c>
      <c r="U175" s="110" t="str">
        <f t="shared" si="55"/>
        <v>2019</v>
      </c>
      <c r="V175" s="109">
        <f t="shared" si="56"/>
        <v>43663</v>
      </c>
      <c r="W175" s="222"/>
      <c r="X175" s="109">
        <f t="shared" si="57"/>
        <v>43602</v>
      </c>
      <c r="Y175" s="109">
        <f t="shared" si="58"/>
        <v>43635</v>
      </c>
      <c r="Z175" s="109">
        <f t="shared" si="59"/>
        <v>43663</v>
      </c>
    </row>
    <row r="176" spans="1:26" ht="17.25" x14ac:dyDescent="0.25">
      <c r="A176" s="222">
        <v>3</v>
      </c>
      <c r="B176" s="222" t="s">
        <v>541</v>
      </c>
      <c r="C176" s="112"/>
      <c r="D176" s="112"/>
      <c r="E176" s="111">
        <f t="shared" si="45"/>
        <v>20</v>
      </c>
      <c r="F176" s="110" t="str">
        <f t="shared" si="46"/>
        <v xml:space="preserve"> mayo</v>
      </c>
      <c r="G176" s="110" t="str">
        <f t="shared" si="47"/>
        <v>2019</v>
      </c>
      <c r="H176" s="109">
        <f t="shared" si="48"/>
        <v>43605</v>
      </c>
      <c r="I176" s="222" t="s">
        <v>417</v>
      </c>
      <c r="J176" s="112"/>
      <c r="K176" s="112"/>
      <c r="L176" s="111">
        <f t="shared" si="49"/>
        <v>20</v>
      </c>
      <c r="M176" s="110" t="str">
        <f t="shared" si="50"/>
        <v xml:space="preserve"> junio</v>
      </c>
      <c r="N176" s="110" t="str">
        <f t="shared" si="51"/>
        <v>2019</v>
      </c>
      <c r="O176" s="109">
        <f t="shared" si="52"/>
        <v>43636</v>
      </c>
      <c r="P176" s="222" t="s">
        <v>542</v>
      </c>
      <c r="Q176" s="112"/>
      <c r="R176" s="112"/>
      <c r="S176" s="111">
        <f t="shared" si="53"/>
        <v>18</v>
      </c>
      <c r="T176" s="110" t="str">
        <f t="shared" si="54"/>
        <v xml:space="preserve"> julio</v>
      </c>
      <c r="U176" s="110" t="str">
        <f t="shared" si="55"/>
        <v>2019</v>
      </c>
      <c r="V176" s="109">
        <f t="shared" si="56"/>
        <v>43664</v>
      </c>
      <c r="W176" s="222"/>
      <c r="X176" s="109">
        <f t="shared" si="57"/>
        <v>43605</v>
      </c>
      <c r="Y176" s="109">
        <f t="shared" si="58"/>
        <v>43636</v>
      </c>
      <c r="Z176" s="109">
        <f t="shared" si="59"/>
        <v>43664</v>
      </c>
    </row>
    <row r="177" spans="1:26" ht="17.25" x14ac:dyDescent="0.25">
      <c r="A177" s="222">
        <v>2</v>
      </c>
      <c r="B177" s="222" t="s">
        <v>543</v>
      </c>
      <c r="C177" s="112"/>
      <c r="D177" s="112"/>
      <c r="E177" s="111">
        <f t="shared" si="45"/>
        <v>21</v>
      </c>
      <c r="F177" s="110" t="str">
        <f t="shared" si="46"/>
        <v xml:space="preserve"> mayo</v>
      </c>
      <c r="G177" s="110" t="str">
        <f t="shared" si="47"/>
        <v>2019</v>
      </c>
      <c r="H177" s="109">
        <f t="shared" si="48"/>
        <v>43606</v>
      </c>
      <c r="I177" s="222" t="s">
        <v>418</v>
      </c>
      <c r="J177" s="112"/>
      <c r="K177" s="112"/>
      <c r="L177" s="111">
        <f t="shared" si="49"/>
        <v>21</v>
      </c>
      <c r="M177" s="110" t="str">
        <f t="shared" si="50"/>
        <v xml:space="preserve"> junio</v>
      </c>
      <c r="N177" s="110" t="str">
        <f t="shared" si="51"/>
        <v>2019</v>
      </c>
      <c r="O177" s="109">
        <f t="shared" si="52"/>
        <v>43637</v>
      </c>
      <c r="P177" s="222" t="s">
        <v>544</v>
      </c>
      <c r="Q177" s="112"/>
      <c r="R177" s="112"/>
      <c r="S177" s="111">
        <f t="shared" si="53"/>
        <v>19</v>
      </c>
      <c r="T177" s="110" t="str">
        <f t="shared" si="54"/>
        <v xml:space="preserve"> julio</v>
      </c>
      <c r="U177" s="110" t="str">
        <f t="shared" si="55"/>
        <v>2019</v>
      </c>
      <c r="V177" s="109">
        <f t="shared" si="56"/>
        <v>43665</v>
      </c>
      <c r="W177" s="222"/>
      <c r="X177" s="109">
        <f t="shared" si="57"/>
        <v>43606</v>
      </c>
      <c r="Y177" s="109">
        <f t="shared" si="58"/>
        <v>43637</v>
      </c>
      <c r="Z177" s="109">
        <f t="shared" si="59"/>
        <v>43665</v>
      </c>
    </row>
    <row r="178" spans="1:26" ht="17.25" x14ac:dyDescent="0.25">
      <c r="A178" s="222">
        <v>1</v>
      </c>
      <c r="B178" s="222" t="s">
        <v>545</v>
      </c>
      <c r="C178" s="112"/>
      <c r="D178" s="112"/>
      <c r="E178" s="143">
        <f t="shared" si="45"/>
        <v>22</v>
      </c>
      <c r="F178" s="144" t="str">
        <f t="shared" si="46"/>
        <v xml:space="preserve"> mayo</v>
      </c>
      <c r="G178" s="144" t="str">
        <f t="shared" si="47"/>
        <v>2019</v>
      </c>
      <c r="H178" s="145">
        <f t="shared" si="48"/>
        <v>43607</v>
      </c>
      <c r="I178" s="222" t="s">
        <v>419</v>
      </c>
      <c r="J178" s="112"/>
      <c r="K178" s="112"/>
      <c r="L178" s="143">
        <f t="shared" si="49"/>
        <v>25</v>
      </c>
      <c r="M178" s="144" t="str">
        <f t="shared" si="50"/>
        <v xml:space="preserve"> junio</v>
      </c>
      <c r="N178" s="144" t="str">
        <f t="shared" si="51"/>
        <v>2019</v>
      </c>
      <c r="O178" s="145">
        <f t="shared" si="52"/>
        <v>43641</v>
      </c>
      <c r="P178" s="222" t="s">
        <v>546</v>
      </c>
      <c r="Q178" s="112"/>
      <c r="R178" s="112"/>
      <c r="S178" s="143">
        <f t="shared" si="53"/>
        <v>22</v>
      </c>
      <c r="T178" s="144" t="str">
        <f t="shared" si="54"/>
        <v xml:space="preserve"> julio</v>
      </c>
      <c r="U178" s="144" t="str">
        <f t="shared" si="55"/>
        <v>2019</v>
      </c>
      <c r="V178" s="145">
        <f t="shared" si="56"/>
        <v>43668</v>
      </c>
      <c r="W178" s="222"/>
      <c r="X178" s="109">
        <f t="shared" si="57"/>
        <v>43607</v>
      </c>
      <c r="Y178" s="109">
        <f t="shared" si="58"/>
        <v>43641</v>
      </c>
      <c r="Z178" s="109">
        <f t="shared" si="59"/>
        <v>43668</v>
      </c>
    </row>
    <row r="179" spans="1:26" x14ac:dyDescent="0.25">
      <c r="A179" s="222"/>
      <c r="B179" s="222"/>
      <c r="C179" s="222"/>
      <c r="D179" s="222"/>
      <c r="E179" s="222"/>
      <c r="F179" s="222"/>
      <c r="G179" s="222"/>
      <c r="H179" s="222"/>
      <c r="I179" s="222"/>
      <c r="J179" s="222"/>
      <c r="K179" s="222"/>
      <c r="L179" s="222"/>
      <c r="M179" s="222"/>
      <c r="N179" s="222"/>
      <c r="O179" s="222"/>
      <c r="P179" s="222"/>
      <c r="Q179" s="222"/>
      <c r="R179" s="222"/>
      <c r="S179" s="222"/>
      <c r="T179" s="222"/>
      <c r="U179" s="222"/>
      <c r="V179" s="222"/>
      <c r="W179" s="222"/>
      <c r="X179" s="222"/>
      <c r="Y179" s="222"/>
      <c r="Z179" s="222"/>
    </row>
    <row r="180" spans="1:26" x14ac:dyDescent="0.25">
      <c r="A180" s="222"/>
      <c r="B180" s="222"/>
      <c r="C180" s="222"/>
      <c r="D180" s="222"/>
      <c r="E180" s="222"/>
      <c r="F180" s="222"/>
      <c r="G180" s="222"/>
      <c r="H180" s="222"/>
      <c r="I180" s="222"/>
      <c r="J180" s="222"/>
      <c r="K180" s="222"/>
      <c r="L180" s="222"/>
      <c r="M180" s="222"/>
      <c r="N180" s="222"/>
      <c r="O180" s="222"/>
      <c r="P180" s="222"/>
      <c r="Q180" s="222"/>
      <c r="R180" s="222"/>
      <c r="S180" s="222"/>
      <c r="T180" s="222"/>
      <c r="U180" s="222"/>
      <c r="V180" s="222"/>
      <c r="W180" s="222"/>
      <c r="X180" s="222"/>
      <c r="Y180" s="222"/>
      <c r="Z180" s="222"/>
    </row>
    <row r="181" spans="1:26" ht="17.25" x14ac:dyDescent="0.25">
      <c r="A181" s="222">
        <v>0</v>
      </c>
      <c r="B181" s="222" t="s">
        <v>499</v>
      </c>
      <c r="C181" s="112"/>
      <c r="D181" s="112"/>
      <c r="E181" s="111">
        <f t="shared" ref="E181:E190" si="60">+VALUE(LEFT(B181,2))</f>
        <v>9</v>
      </c>
      <c r="F181" s="110" t="str">
        <f t="shared" ref="F181:F190" si="61">MID(B181,FIND(" de ",B181)+3,FIND(" de ",B181,FIND(" de ",B181)+3)-FIND(" de ",B181)-3)</f>
        <v xml:space="preserve"> agosto</v>
      </c>
      <c r="G181" s="110" t="str">
        <f t="shared" ref="G181:G190" si="62">+MID(B181,FIND(" de 2",B181)+4,5)</f>
        <v>2019</v>
      </c>
      <c r="H181" s="109">
        <f t="shared" ref="H181:H190" si="63">DATEVALUE(E181&amp;"/"&amp;F181&amp;"/"&amp;G181)</f>
        <v>43686</v>
      </c>
      <c r="I181" s="222" t="s">
        <v>466</v>
      </c>
      <c r="J181" s="112"/>
      <c r="K181" s="112"/>
      <c r="L181" s="111">
        <f t="shared" ref="L181:L190" si="64">+VALUE(LEFT(I181,2))</f>
        <v>10</v>
      </c>
      <c r="M181" s="110" t="str">
        <f t="shared" ref="M181:M190" si="65">MID(I181,FIND(" de ",I181)+3,FIND(" de ",I181,FIND(" de ",I181)+3)-FIND(" de ",I181)-3)</f>
        <v xml:space="preserve"> septiembre</v>
      </c>
      <c r="N181" s="110" t="str">
        <f t="shared" ref="N181:N190" si="66">+MID(I181,FIND(" de 2",I181)+4,5)</f>
        <v>2019</v>
      </c>
      <c r="O181" s="109">
        <f t="shared" ref="O181:O190" si="67">DATEVALUE(L181&amp;"/"&amp;M181&amp;"/"&amp;N181)</f>
        <v>43718</v>
      </c>
      <c r="P181" s="222" t="s">
        <v>437</v>
      </c>
      <c r="Q181" s="112"/>
      <c r="R181" s="112"/>
      <c r="S181" s="111">
        <f t="shared" ref="S181:S190" si="68">+VALUE(LEFT(P181,2))</f>
        <v>8</v>
      </c>
      <c r="T181" s="110" t="str">
        <f t="shared" ref="T181:T190" si="69">MID(P181,FIND(" de ",P181)+3,FIND(" de ",P181,FIND(" de ",P181)+3)-FIND(" de ",P181)-3)</f>
        <v xml:space="preserve"> octubre</v>
      </c>
      <c r="U181" s="110" t="str">
        <f t="shared" ref="U181:U190" si="70">+MID(P181,FIND(" de 2",P181)+4,5)</f>
        <v>2019</v>
      </c>
      <c r="V181" s="109">
        <f t="shared" ref="V181:V190" si="71">DATEVALUE(S181&amp;"/"&amp;T181&amp;"/"&amp;U181)</f>
        <v>43746</v>
      </c>
      <c r="W181" s="222"/>
      <c r="X181" s="109">
        <f>+H181</f>
        <v>43686</v>
      </c>
      <c r="Y181" s="109">
        <f>+O181</f>
        <v>43718</v>
      </c>
      <c r="Z181" s="109">
        <f>+V181</f>
        <v>43746</v>
      </c>
    </row>
    <row r="182" spans="1:26" ht="17.25" x14ac:dyDescent="0.25">
      <c r="A182" s="222">
        <v>9</v>
      </c>
      <c r="B182" s="222" t="s">
        <v>497</v>
      </c>
      <c r="C182" s="112"/>
      <c r="D182" s="112"/>
      <c r="E182" s="111">
        <f t="shared" si="60"/>
        <v>12</v>
      </c>
      <c r="F182" s="110" t="str">
        <f t="shared" si="61"/>
        <v xml:space="preserve"> agosto</v>
      </c>
      <c r="G182" s="110" t="str">
        <f t="shared" si="62"/>
        <v>2019</v>
      </c>
      <c r="H182" s="109">
        <f t="shared" si="63"/>
        <v>43689</v>
      </c>
      <c r="I182" s="222" t="s">
        <v>464</v>
      </c>
      <c r="J182" s="112"/>
      <c r="K182" s="112"/>
      <c r="L182" s="111">
        <f t="shared" si="64"/>
        <v>11</v>
      </c>
      <c r="M182" s="110" t="str">
        <f t="shared" si="65"/>
        <v xml:space="preserve"> septiembre</v>
      </c>
      <c r="N182" s="110" t="str">
        <f t="shared" si="66"/>
        <v>2019</v>
      </c>
      <c r="O182" s="109">
        <f t="shared" si="67"/>
        <v>43719</v>
      </c>
      <c r="P182" s="222" t="s">
        <v>435</v>
      </c>
      <c r="Q182" s="112"/>
      <c r="R182" s="112"/>
      <c r="S182" s="111">
        <f t="shared" si="68"/>
        <v>9</v>
      </c>
      <c r="T182" s="110" t="str">
        <f t="shared" si="69"/>
        <v xml:space="preserve"> octubre</v>
      </c>
      <c r="U182" s="110" t="str">
        <f t="shared" si="70"/>
        <v>2019</v>
      </c>
      <c r="V182" s="109">
        <f t="shared" si="71"/>
        <v>43747</v>
      </c>
      <c r="W182" s="222"/>
      <c r="X182" s="109">
        <f t="shared" ref="X182:X190" si="72">+H182</f>
        <v>43689</v>
      </c>
      <c r="Y182" s="109">
        <f t="shared" ref="Y182:Y190" si="73">+O182</f>
        <v>43719</v>
      </c>
      <c r="Z182" s="109">
        <f t="shared" ref="Z182:Z190" si="74">+V182</f>
        <v>43747</v>
      </c>
    </row>
    <row r="183" spans="1:26" ht="17.25" x14ac:dyDescent="0.25">
      <c r="A183" s="222">
        <v>8</v>
      </c>
      <c r="B183" s="222" t="s">
        <v>495</v>
      </c>
      <c r="C183" s="112"/>
      <c r="D183" s="112"/>
      <c r="E183" s="111">
        <f t="shared" si="60"/>
        <v>13</v>
      </c>
      <c r="F183" s="110" t="str">
        <f t="shared" si="61"/>
        <v xml:space="preserve"> agosto</v>
      </c>
      <c r="G183" s="110" t="str">
        <f t="shared" si="62"/>
        <v>2019</v>
      </c>
      <c r="H183" s="109">
        <f t="shared" si="63"/>
        <v>43690</v>
      </c>
      <c r="I183" s="222" t="s">
        <v>462</v>
      </c>
      <c r="J183" s="112"/>
      <c r="K183" s="112"/>
      <c r="L183" s="111">
        <f t="shared" si="64"/>
        <v>12</v>
      </c>
      <c r="M183" s="110" t="str">
        <f t="shared" si="65"/>
        <v xml:space="preserve"> septiembre</v>
      </c>
      <c r="N183" s="110" t="str">
        <f t="shared" si="66"/>
        <v>2019</v>
      </c>
      <c r="O183" s="109">
        <f t="shared" si="67"/>
        <v>43720</v>
      </c>
      <c r="P183" s="222" t="s">
        <v>433</v>
      </c>
      <c r="Q183" s="112"/>
      <c r="R183" s="112"/>
      <c r="S183" s="111">
        <f t="shared" si="68"/>
        <v>10</v>
      </c>
      <c r="T183" s="110" t="str">
        <f t="shared" si="69"/>
        <v xml:space="preserve"> octubre</v>
      </c>
      <c r="U183" s="110" t="str">
        <f t="shared" si="70"/>
        <v>2019</v>
      </c>
      <c r="V183" s="109">
        <f t="shared" si="71"/>
        <v>43748</v>
      </c>
      <c r="W183" s="222"/>
      <c r="X183" s="109">
        <f t="shared" si="72"/>
        <v>43690</v>
      </c>
      <c r="Y183" s="109">
        <f t="shared" si="73"/>
        <v>43720</v>
      </c>
      <c r="Z183" s="109">
        <f t="shared" si="74"/>
        <v>43748</v>
      </c>
    </row>
    <row r="184" spans="1:26" ht="17.25" x14ac:dyDescent="0.25">
      <c r="A184" s="222">
        <v>7</v>
      </c>
      <c r="B184" s="222" t="s">
        <v>493</v>
      </c>
      <c r="C184" s="112"/>
      <c r="D184" s="112"/>
      <c r="E184" s="111">
        <f t="shared" si="60"/>
        <v>14</v>
      </c>
      <c r="F184" s="110" t="str">
        <f t="shared" si="61"/>
        <v xml:space="preserve"> agosto</v>
      </c>
      <c r="G184" s="110" t="str">
        <f t="shared" si="62"/>
        <v>2019</v>
      </c>
      <c r="H184" s="109">
        <f t="shared" si="63"/>
        <v>43691</v>
      </c>
      <c r="I184" s="222" t="s">
        <v>460</v>
      </c>
      <c r="J184" s="112"/>
      <c r="K184" s="112"/>
      <c r="L184" s="111">
        <f t="shared" si="64"/>
        <v>13</v>
      </c>
      <c r="M184" s="110" t="str">
        <f t="shared" si="65"/>
        <v xml:space="preserve"> septiembre</v>
      </c>
      <c r="N184" s="110" t="str">
        <f t="shared" si="66"/>
        <v>2019</v>
      </c>
      <c r="O184" s="109">
        <f t="shared" si="67"/>
        <v>43721</v>
      </c>
      <c r="P184" s="222" t="s">
        <v>431</v>
      </c>
      <c r="Q184" s="112"/>
      <c r="R184" s="112"/>
      <c r="S184" s="111">
        <f t="shared" si="68"/>
        <v>11</v>
      </c>
      <c r="T184" s="110" t="str">
        <f t="shared" si="69"/>
        <v xml:space="preserve"> octubre</v>
      </c>
      <c r="U184" s="110" t="str">
        <f t="shared" si="70"/>
        <v>2019</v>
      </c>
      <c r="V184" s="109">
        <f t="shared" si="71"/>
        <v>43749</v>
      </c>
      <c r="W184" s="222"/>
      <c r="X184" s="109">
        <f t="shared" si="72"/>
        <v>43691</v>
      </c>
      <c r="Y184" s="109">
        <f t="shared" si="73"/>
        <v>43721</v>
      </c>
      <c r="Z184" s="109">
        <f t="shared" si="74"/>
        <v>43749</v>
      </c>
    </row>
    <row r="185" spans="1:26" ht="17.25" x14ac:dyDescent="0.25">
      <c r="A185" s="222">
        <v>6</v>
      </c>
      <c r="B185" s="222" t="s">
        <v>491</v>
      </c>
      <c r="C185" s="112"/>
      <c r="D185" s="112"/>
      <c r="E185" s="111">
        <f t="shared" si="60"/>
        <v>15</v>
      </c>
      <c r="F185" s="110" t="str">
        <f t="shared" si="61"/>
        <v xml:space="preserve"> agosto</v>
      </c>
      <c r="G185" s="110" t="str">
        <f t="shared" si="62"/>
        <v>2019</v>
      </c>
      <c r="H185" s="109">
        <f t="shared" si="63"/>
        <v>43692</v>
      </c>
      <c r="I185" s="222" t="s">
        <v>459</v>
      </c>
      <c r="J185" s="112"/>
      <c r="K185" s="112"/>
      <c r="L185" s="111">
        <f t="shared" si="64"/>
        <v>16</v>
      </c>
      <c r="M185" s="110" t="str">
        <f t="shared" si="65"/>
        <v xml:space="preserve"> septiembre</v>
      </c>
      <c r="N185" s="110" t="str">
        <f t="shared" si="66"/>
        <v>2019</v>
      </c>
      <c r="O185" s="109">
        <f t="shared" si="67"/>
        <v>43724</v>
      </c>
      <c r="P185" s="222" t="s">
        <v>547</v>
      </c>
      <c r="Q185" s="112"/>
      <c r="R185" s="112"/>
      <c r="S185" s="111">
        <f t="shared" si="68"/>
        <v>15</v>
      </c>
      <c r="T185" s="110" t="str">
        <f t="shared" si="69"/>
        <v xml:space="preserve"> octubre</v>
      </c>
      <c r="U185" s="110" t="str">
        <f t="shared" si="70"/>
        <v>2019</v>
      </c>
      <c r="V185" s="109">
        <f t="shared" si="71"/>
        <v>43753</v>
      </c>
      <c r="W185" s="222"/>
      <c r="X185" s="109">
        <f t="shared" si="72"/>
        <v>43692</v>
      </c>
      <c r="Y185" s="109">
        <f t="shared" si="73"/>
        <v>43724</v>
      </c>
      <c r="Z185" s="109">
        <f t="shared" si="74"/>
        <v>43753</v>
      </c>
    </row>
    <row r="186" spans="1:26" ht="17.25" x14ac:dyDescent="0.25">
      <c r="A186" s="222">
        <v>5</v>
      </c>
      <c r="B186" s="222" t="s">
        <v>489</v>
      </c>
      <c r="C186" s="112"/>
      <c r="D186" s="112"/>
      <c r="E186" s="111">
        <f t="shared" si="60"/>
        <v>16</v>
      </c>
      <c r="F186" s="110" t="str">
        <f t="shared" si="61"/>
        <v xml:space="preserve"> agosto</v>
      </c>
      <c r="G186" s="110" t="str">
        <f t="shared" si="62"/>
        <v>2019</v>
      </c>
      <c r="H186" s="109">
        <f t="shared" si="63"/>
        <v>43693</v>
      </c>
      <c r="I186" s="222" t="s">
        <v>457</v>
      </c>
      <c r="J186" s="112"/>
      <c r="K186" s="112"/>
      <c r="L186" s="111">
        <f t="shared" si="64"/>
        <v>17</v>
      </c>
      <c r="M186" s="110" t="str">
        <f t="shared" si="65"/>
        <v xml:space="preserve"> septiembre</v>
      </c>
      <c r="N186" s="110" t="str">
        <f t="shared" si="66"/>
        <v>2019</v>
      </c>
      <c r="O186" s="109">
        <f t="shared" si="67"/>
        <v>43725</v>
      </c>
      <c r="P186" s="222" t="s">
        <v>548</v>
      </c>
      <c r="Q186" s="112"/>
      <c r="R186" s="112"/>
      <c r="S186" s="111">
        <f t="shared" si="68"/>
        <v>16</v>
      </c>
      <c r="T186" s="110" t="str">
        <f t="shared" si="69"/>
        <v xml:space="preserve"> octubre</v>
      </c>
      <c r="U186" s="110" t="str">
        <f t="shared" si="70"/>
        <v>2019</v>
      </c>
      <c r="V186" s="109">
        <f t="shared" si="71"/>
        <v>43754</v>
      </c>
      <c r="W186" s="222"/>
      <c r="X186" s="109">
        <f t="shared" si="72"/>
        <v>43693</v>
      </c>
      <c r="Y186" s="109">
        <f t="shared" si="73"/>
        <v>43725</v>
      </c>
      <c r="Z186" s="109">
        <f t="shared" si="74"/>
        <v>43754</v>
      </c>
    </row>
    <row r="187" spans="1:26" ht="17.25" x14ac:dyDescent="0.25">
      <c r="A187" s="222">
        <v>4</v>
      </c>
      <c r="B187" s="222" t="s">
        <v>488</v>
      </c>
      <c r="C187" s="112"/>
      <c r="D187" s="112"/>
      <c r="E187" s="111">
        <f t="shared" si="60"/>
        <v>20</v>
      </c>
      <c r="F187" s="110" t="str">
        <f t="shared" si="61"/>
        <v xml:space="preserve"> agosto</v>
      </c>
      <c r="G187" s="110" t="str">
        <f t="shared" si="62"/>
        <v>2019</v>
      </c>
      <c r="H187" s="109">
        <f t="shared" si="63"/>
        <v>43697</v>
      </c>
      <c r="I187" s="222" t="s">
        <v>456</v>
      </c>
      <c r="J187" s="112"/>
      <c r="K187" s="112"/>
      <c r="L187" s="111">
        <f t="shared" si="64"/>
        <v>18</v>
      </c>
      <c r="M187" s="110" t="str">
        <f t="shared" si="65"/>
        <v xml:space="preserve"> septiembre</v>
      </c>
      <c r="N187" s="110" t="str">
        <f t="shared" si="66"/>
        <v>2019</v>
      </c>
      <c r="O187" s="109">
        <f t="shared" si="67"/>
        <v>43726</v>
      </c>
      <c r="P187" s="222" t="s">
        <v>549</v>
      </c>
      <c r="Q187" s="112"/>
      <c r="R187" s="112"/>
      <c r="S187" s="111">
        <f t="shared" si="68"/>
        <v>17</v>
      </c>
      <c r="T187" s="110" t="str">
        <f t="shared" si="69"/>
        <v xml:space="preserve"> octubre</v>
      </c>
      <c r="U187" s="110" t="str">
        <f t="shared" si="70"/>
        <v>2019</v>
      </c>
      <c r="V187" s="109">
        <f t="shared" si="71"/>
        <v>43755</v>
      </c>
      <c r="W187" s="222"/>
      <c r="X187" s="109">
        <f t="shared" si="72"/>
        <v>43697</v>
      </c>
      <c r="Y187" s="109">
        <f t="shared" si="73"/>
        <v>43726</v>
      </c>
      <c r="Z187" s="109">
        <f t="shared" si="74"/>
        <v>43755</v>
      </c>
    </row>
    <row r="188" spans="1:26" ht="17.25" x14ac:dyDescent="0.25">
      <c r="A188" s="222">
        <v>3</v>
      </c>
      <c r="B188" s="222" t="s">
        <v>487</v>
      </c>
      <c r="C188" s="112"/>
      <c r="D188" s="112"/>
      <c r="E188" s="111">
        <f t="shared" si="60"/>
        <v>21</v>
      </c>
      <c r="F188" s="110" t="str">
        <f t="shared" si="61"/>
        <v xml:space="preserve"> agosto</v>
      </c>
      <c r="G188" s="110" t="str">
        <f t="shared" si="62"/>
        <v>2019</v>
      </c>
      <c r="H188" s="109">
        <f t="shared" si="63"/>
        <v>43698</v>
      </c>
      <c r="I188" s="222" t="s">
        <v>455</v>
      </c>
      <c r="J188" s="112"/>
      <c r="K188" s="112"/>
      <c r="L188" s="111">
        <f t="shared" si="64"/>
        <v>19</v>
      </c>
      <c r="M188" s="110" t="str">
        <f t="shared" si="65"/>
        <v xml:space="preserve"> septiembre</v>
      </c>
      <c r="N188" s="110" t="str">
        <f t="shared" si="66"/>
        <v>2019</v>
      </c>
      <c r="O188" s="109">
        <f t="shared" si="67"/>
        <v>43727</v>
      </c>
      <c r="P188" s="222" t="s">
        <v>550</v>
      </c>
      <c r="Q188" s="112"/>
      <c r="R188" s="112"/>
      <c r="S188" s="111">
        <f t="shared" si="68"/>
        <v>18</v>
      </c>
      <c r="T188" s="110" t="str">
        <f t="shared" si="69"/>
        <v xml:space="preserve"> octubre</v>
      </c>
      <c r="U188" s="110" t="str">
        <f t="shared" si="70"/>
        <v>2019</v>
      </c>
      <c r="V188" s="109">
        <f t="shared" si="71"/>
        <v>43756</v>
      </c>
      <c r="W188" s="222"/>
      <c r="X188" s="109">
        <f t="shared" si="72"/>
        <v>43698</v>
      </c>
      <c r="Y188" s="109">
        <f t="shared" si="73"/>
        <v>43727</v>
      </c>
      <c r="Z188" s="109">
        <f t="shared" si="74"/>
        <v>43756</v>
      </c>
    </row>
    <row r="189" spans="1:26" ht="17.25" x14ac:dyDescent="0.25">
      <c r="A189" s="222">
        <v>2</v>
      </c>
      <c r="B189" s="222" t="s">
        <v>485</v>
      </c>
      <c r="C189" s="112"/>
      <c r="D189" s="112"/>
      <c r="E189" s="111">
        <f t="shared" si="60"/>
        <v>22</v>
      </c>
      <c r="F189" s="110" t="str">
        <f t="shared" si="61"/>
        <v xml:space="preserve"> agosto</v>
      </c>
      <c r="G189" s="110" t="str">
        <f t="shared" si="62"/>
        <v>2019</v>
      </c>
      <c r="H189" s="109">
        <f t="shared" si="63"/>
        <v>43699</v>
      </c>
      <c r="I189" s="222" t="s">
        <v>453</v>
      </c>
      <c r="J189" s="112"/>
      <c r="K189" s="112"/>
      <c r="L189" s="111">
        <f t="shared" si="64"/>
        <v>20</v>
      </c>
      <c r="M189" s="110" t="str">
        <f t="shared" si="65"/>
        <v xml:space="preserve"> septiembre</v>
      </c>
      <c r="N189" s="110" t="str">
        <f t="shared" si="66"/>
        <v>2019</v>
      </c>
      <c r="O189" s="109">
        <f t="shared" si="67"/>
        <v>43728</v>
      </c>
      <c r="P189" s="222" t="s">
        <v>551</v>
      </c>
      <c r="Q189" s="112"/>
      <c r="R189" s="112"/>
      <c r="S189" s="111">
        <f t="shared" si="68"/>
        <v>21</v>
      </c>
      <c r="T189" s="110" t="str">
        <f t="shared" si="69"/>
        <v xml:space="preserve"> octubre</v>
      </c>
      <c r="U189" s="110" t="str">
        <f t="shared" si="70"/>
        <v>2019</v>
      </c>
      <c r="V189" s="109">
        <f t="shared" si="71"/>
        <v>43759</v>
      </c>
      <c r="W189" s="222"/>
      <c r="X189" s="109">
        <f t="shared" si="72"/>
        <v>43699</v>
      </c>
      <c r="Y189" s="109">
        <f t="shared" si="73"/>
        <v>43728</v>
      </c>
      <c r="Z189" s="109">
        <f t="shared" si="74"/>
        <v>43759</v>
      </c>
    </row>
    <row r="190" spans="1:26" ht="17.25" x14ac:dyDescent="0.25">
      <c r="A190" s="222">
        <v>1</v>
      </c>
      <c r="B190" s="222" t="s">
        <v>483</v>
      </c>
      <c r="C190" s="112"/>
      <c r="D190" s="112"/>
      <c r="E190" s="143">
        <f t="shared" si="60"/>
        <v>23</v>
      </c>
      <c r="F190" s="144" t="str">
        <f t="shared" si="61"/>
        <v xml:space="preserve"> agosto</v>
      </c>
      <c r="G190" s="144" t="str">
        <f t="shared" si="62"/>
        <v>2019</v>
      </c>
      <c r="H190" s="145">
        <f t="shared" si="63"/>
        <v>43700</v>
      </c>
      <c r="I190" s="222" t="s">
        <v>451</v>
      </c>
      <c r="J190" s="112"/>
      <c r="K190" s="112"/>
      <c r="L190" s="143">
        <f t="shared" si="64"/>
        <v>23</v>
      </c>
      <c r="M190" s="144" t="str">
        <f t="shared" si="65"/>
        <v xml:space="preserve"> septiembre</v>
      </c>
      <c r="N190" s="144" t="str">
        <f t="shared" si="66"/>
        <v>2019</v>
      </c>
      <c r="O190" s="145">
        <f t="shared" si="67"/>
        <v>43731</v>
      </c>
      <c r="P190" s="222" t="s">
        <v>552</v>
      </c>
      <c r="Q190" s="112"/>
      <c r="R190" s="112"/>
      <c r="S190" s="143">
        <f t="shared" si="68"/>
        <v>22</v>
      </c>
      <c r="T190" s="144" t="str">
        <f t="shared" si="69"/>
        <v xml:space="preserve"> octubre</v>
      </c>
      <c r="U190" s="144" t="str">
        <f t="shared" si="70"/>
        <v>2019</v>
      </c>
      <c r="V190" s="145">
        <f t="shared" si="71"/>
        <v>43760</v>
      </c>
      <c r="W190" s="222"/>
      <c r="X190" s="109">
        <f t="shared" si="72"/>
        <v>43700</v>
      </c>
      <c r="Y190" s="109">
        <f t="shared" si="73"/>
        <v>43731</v>
      </c>
      <c r="Z190" s="109">
        <f t="shared" si="74"/>
        <v>43760</v>
      </c>
    </row>
    <row r="191" spans="1:26" x14ac:dyDescent="0.25">
      <c r="A191" s="222"/>
      <c r="B191" s="222"/>
      <c r="C191" s="222"/>
      <c r="D191" s="222"/>
      <c r="E191" s="222"/>
      <c r="F191" s="222"/>
      <c r="G191" s="222"/>
      <c r="H191" s="222"/>
      <c r="I191" s="222"/>
      <c r="J191" s="222"/>
      <c r="K191" s="222"/>
      <c r="L191" s="222"/>
      <c r="M191" s="222"/>
      <c r="N191" s="222"/>
      <c r="O191" s="222"/>
      <c r="P191" s="222"/>
      <c r="Q191" s="222"/>
      <c r="R191" s="222"/>
      <c r="S191" s="222"/>
      <c r="T191" s="222"/>
      <c r="U191" s="222"/>
      <c r="V191" s="222"/>
      <c r="W191" s="222"/>
      <c r="X191" s="222"/>
      <c r="Y191" s="222"/>
      <c r="Z191" s="222"/>
    </row>
    <row r="192" spans="1:26" x14ac:dyDescent="0.25">
      <c r="A192" s="222"/>
      <c r="B192" s="222"/>
      <c r="C192" s="222"/>
      <c r="D192" s="222"/>
      <c r="E192" s="222"/>
      <c r="F192" s="222"/>
      <c r="G192" s="222"/>
      <c r="H192" s="222"/>
      <c r="I192" s="222"/>
      <c r="J192" s="222"/>
      <c r="K192" s="222"/>
      <c r="L192" s="222"/>
      <c r="M192" s="222"/>
      <c r="N192" s="222"/>
      <c r="O192" s="222"/>
      <c r="P192" s="222"/>
      <c r="Q192" s="222"/>
      <c r="R192" s="222"/>
      <c r="S192" s="222"/>
      <c r="T192" s="222"/>
      <c r="U192" s="222"/>
      <c r="V192" s="222"/>
      <c r="W192" s="222"/>
      <c r="X192" s="222"/>
      <c r="Y192" s="222"/>
      <c r="Z192" s="222"/>
    </row>
    <row r="193" spans="1:26" ht="17.25" x14ac:dyDescent="0.25">
      <c r="A193" s="222">
        <v>0</v>
      </c>
      <c r="B193" s="222" t="s">
        <v>553</v>
      </c>
      <c r="C193" s="112"/>
      <c r="D193" s="112"/>
      <c r="E193" s="111">
        <f t="shared" ref="E193:E202" si="75">+VALUE(LEFT(B193,2))</f>
        <v>12</v>
      </c>
      <c r="F193" s="110" t="str">
        <f t="shared" ref="F193:F202" si="76">MID(B193,FIND(" de ",B193)+3,FIND(" de ",B193,FIND(" de ",B193)+3)-FIND(" de ",B193)-3)</f>
        <v xml:space="preserve"> noviembre</v>
      </c>
      <c r="G193" s="110" t="str">
        <f t="shared" ref="G193:G202" si="77">+MID(B193,FIND(" de 2",B193)+4,5)</f>
        <v>2019</v>
      </c>
      <c r="H193" s="109">
        <f t="shared" ref="H193:H202" si="78">DATEVALUE(E193&amp;"/"&amp;F193&amp;"/"&amp;G193)</f>
        <v>43781</v>
      </c>
      <c r="I193" s="222" t="s">
        <v>554</v>
      </c>
      <c r="J193" s="112"/>
      <c r="K193" s="112"/>
      <c r="L193" s="111">
        <f t="shared" ref="L193:L202" si="79">+VALUE(LEFT(I193,2))</f>
        <v>10</v>
      </c>
      <c r="M193" s="110" t="str">
        <f t="shared" ref="M193:M202" si="80">MID(I193,FIND(" de ",I193)+3,FIND(" de ",I193,FIND(" de ",I193)+3)-FIND(" de ",I193)-3)</f>
        <v xml:space="preserve"> diciembre</v>
      </c>
      <c r="N193" s="110" t="str">
        <f t="shared" ref="N193:N202" si="81">+MID(I193,FIND(" de 2",I193)+4,5)</f>
        <v>2019</v>
      </c>
      <c r="O193" s="109">
        <f t="shared" ref="O193:O202" si="82">DATEVALUE(L193&amp;"/"&amp;M193&amp;"/"&amp;N193)</f>
        <v>43809</v>
      </c>
      <c r="P193" s="222" t="s">
        <v>555</v>
      </c>
      <c r="Q193" s="112"/>
      <c r="R193" s="112"/>
      <c r="S193" s="111">
        <f t="shared" ref="S193:S202" si="83">+VALUE(LEFT(P193,2))</f>
        <v>10</v>
      </c>
      <c r="T193" s="110" t="str">
        <f t="shared" ref="T193:T202" si="84">MID(P193,FIND(" de ",P193)+3,FIND(" de ",P193,FIND(" de ",P193)+3)-FIND(" de ",P193)-3)</f>
        <v xml:space="preserve"> enero</v>
      </c>
      <c r="U193" s="110" t="str">
        <f t="shared" ref="U193:U202" si="85">+MID(P193,FIND(" de 2",P193)+4,5)</f>
        <v>2020</v>
      </c>
      <c r="V193" s="109">
        <f t="shared" ref="V193:V202" si="86">DATEVALUE(S193&amp;"/"&amp;T193&amp;"/"&amp;U193)</f>
        <v>43840</v>
      </c>
      <c r="W193" s="222"/>
      <c r="X193" s="109">
        <f>+H193</f>
        <v>43781</v>
      </c>
      <c r="Y193" s="109">
        <f>+O193</f>
        <v>43809</v>
      </c>
      <c r="Z193" s="109">
        <f>+V193</f>
        <v>43840</v>
      </c>
    </row>
    <row r="194" spans="1:26" ht="17.25" x14ac:dyDescent="0.25">
      <c r="A194" s="222">
        <v>9</v>
      </c>
      <c r="B194" s="222" t="s">
        <v>556</v>
      </c>
      <c r="C194" s="112"/>
      <c r="D194" s="112"/>
      <c r="E194" s="111">
        <f t="shared" si="75"/>
        <v>13</v>
      </c>
      <c r="F194" s="110" t="str">
        <f t="shared" si="76"/>
        <v xml:space="preserve"> noviembre</v>
      </c>
      <c r="G194" s="110" t="str">
        <f t="shared" si="77"/>
        <v>2019</v>
      </c>
      <c r="H194" s="109">
        <f t="shared" si="78"/>
        <v>43782</v>
      </c>
      <c r="I194" s="222" t="s">
        <v>557</v>
      </c>
      <c r="J194" s="112"/>
      <c r="K194" s="112"/>
      <c r="L194" s="111">
        <f t="shared" si="79"/>
        <v>11</v>
      </c>
      <c r="M194" s="110" t="str">
        <f t="shared" si="80"/>
        <v xml:space="preserve"> diciembre</v>
      </c>
      <c r="N194" s="110" t="str">
        <f t="shared" si="81"/>
        <v>2019</v>
      </c>
      <c r="O194" s="109">
        <f t="shared" si="82"/>
        <v>43810</v>
      </c>
      <c r="P194" s="222" t="s">
        <v>558</v>
      </c>
      <c r="Q194" s="112"/>
      <c r="R194" s="112"/>
      <c r="S194" s="111">
        <f t="shared" si="83"/>
        <v>13</v>
      </c>
      <c r="T194" s="110" t="str">
        <f t="shared" si="84"/>
        <v xml:space="preserve"> enero</v>
      </c>
      <c r="U194" s="110" t="str">
        <f t="shared" si="85"/>
        <v>2020</v>
      </c>
      <c r="V194" s="109">
        <f t="shared" si="86"/>
        <v>43843</v>
      </c>
      <c r="W194" s="222"/>
      <c r="X194" s="109">
        <f t="shared" ref="X194:X202" si="87">+H194</f>
        <v>43782</v>
      </c>
      <c r="Y194" s="109">
        <f t="shared" ref="Y194:Y202" si="88">+O194</f>
        <v>43810</v>
      </c>
      <c r="Z194" s="109">
        <f t="shared" ref="Z194:Z202" si="89">+V194</f>
        <v>43843</v>
      </c>
    </row>
    <row r="195" spans="1:26" ht="17.25" x14ac:dyDescent="0.25">
      <c r="A195" s="222">
        <v>8</v>
      </c>
      <c r="B195" s="222" t="s">
        <v>559</v>
      </c>
      <c r="C195" s="112"/>
      <c r="D195" s="112"/>
      <c r="E195" s="111">
        <f t="shared" si="75"/>
        <v>14</v>
      </c>
      <c r="F195" s="110" t="str">
        <f t="shared" si="76"/>
        <v xml:space="preserve"> noviembre</v>
      </c>
      <c r="G195" s="110" t="str">
        <f t="shared" si="77"/>
        <v>2019</v>
      </c>
      <c r="H195" s="109">
        <f t="shared" si="78"/>
        <v>43783</v>
      </c>
      <c r="I195" s="222" t="s">
        <v>560</v>
      </c>
      <c r="J195" s="112"/>
      <c r="K195" s="112"/>
      <c r="L195" s="111">
        <f t="shared" si="79"/>
        <v>12</v>
      </c>
      <c r="M195" s="110" t="str">
        <f t="shared" si="80"/>
        <v xml:space="preserve"> diciembre</v>
      </c>
      <c r="N195" s="110" t="str">
        <f t="shared" si="81"/>
        <v>2019</v>
      </c>
      <c r="O195" s="109">
        <f t="shared" si="82"/>
        <v>43811</v>
      </c>
      <c r="P195" s="222" t="s">
        <v>561</v>
      </c>
      <c r="Q195" s="112"/>
      <c r="R195" s="112"/>
      <c r="S195" s="111">
        <f t="shared" si="83"/>
        <v>14</v>
      </c>
      <c r="T195" s="110" t="str">
        <f t="shared" si="84"/>
        <v xml:space="preserve"> enero</v>
      </c>
      <c r="U195" s="110" t="str">
        <f t="shared" si="85"/>
        <v>2020</v>
      </c>
      <c r="V195" s="109">
        <f t="shared" si="86"/>
        <v>43844</v>
      </c>
      <c r="W195" s="222"/>
      <c r="X195" s="109">
        <f t="shared" si="87"/>
        <v>43783</v>
      </c>
      <c r="Y195" s="109">
        <f t="shared" si="88"/>
        <v>43811</v>
      </c>
      <c r="Z195" s="109">
        <f t="shared" si="89"/>
        <v>43844</v>
      </c>
    </row>
    <row r="196" spans="1:26" ht="17.25" x14ac:dyDescent="0.25">
      <c r="A196" s="222">
        <v>7</v>
      </c>
      <c r="B196" s="222" t="s">
        <v>562</v>
      </c>
      <c r="C196" s="112"/>
      <c r="D196" s="112"/>
      <c r="E196" s="111">
        <f t="shared" si="75"/>
        <v>15</v>
      </c>
      <c r="F196" s="110" t="str">
        <f t="shared" si="76"/>
        <v xml:space="preserve"> noviembre</v>
      </c>
      <c r="G196" s="110" t="str">
        <f t="shared" si="77"/>
        <v>2019</v>
      </c>
      <c r="H196" s="109">
        <f t="shared" si="78"/>
        <v>43784</v>
      </c>
      <c r="I196" s="222" t="s">
        <v>563</v>
      </c>
      <c r="J196" s="112"/>
      <c r="K196" s="112"/>
      <c r="L196" s="111">
        <f t="shared" si="79"/>
        <v>13</v>
      </c>
      <c r="M196" s="110" t="str">
        <f t="shared" si="80"/>
        <v xml:space="preserve"> diciembre</v>
      </c>
      <c r="N196" s="110" t="str">
        <f t="shared" si="81"/>
        <v>2019</v>
      </c>
      <c r="O196" s="109">
        <f t="shared" si="82"/>
        <v>43812</v>
      </c>
      <c r="P196" s="222" t="s">
        <v>564</v>
      </c>
      <c r="Q196" s="112"/>
      <c r="R196" s="112"/>
      <c r="S196" s="111">
        <f t="shared" si="83"/>
        <v>15</v>
      </c>
      <c r="T196" s="110" t="str">
        <f t="shared" si="84"/>
        <v xml:space="preserve"> enero</v>
      </c>
      <c r="U196" s="110" t="str">
        <f t="shared" si="85"/>
        <v>2020</v>
      </c>
      <c r="V196" s="109">
        <f t="shared" si="86"/>
        <v>43845</v>
      </c>
      <c r="W196" s="222"/>
      <c r="X196" s="109">
        <f t="shared" si="87"/>
        <v>43784</v>
      </c>
      <c r="Y196" s="109">
        <f t="shared" si="88"/>
        <v>43812</v>
      </c>
      <c r="Z196" s="109">
        <f t="shared" si="89"/>
        <v>43845</v>
      </c>
    </row>
    <row r="197" spans="1:26" ht="17.25" x14ac:dyDescent="0.25">
      <c r="A197" s="222">
        <v>6</v>
      </c>
      <c r="B197" s="222" t="s">
        <v>565</v>
      </c>
      <c r="C197" s="112"/>
      <c r="D197" s="112"/>
      <c r="E197" s="111">
        <f t="shared" si="75"/>
        <v>18</v>
      </c>
      <c r="F197" s="110" t="str">
        <f t="shared" si="76"/>
        <v xml:space="preserve"> noviembre</v>
      </c>
      <c r="G197" s="110" t="str">
        <f t="shared" si="77"/>
        <v>2019</v>
      </c>
      <c r="H197" s="109">
        <f t="shared" si="78"/>
        <v>43787</v>
      </c>
      <c r="I197" s="222" t="s">
        <v>566</v>
      </c>
      <c r="J197" s="112"/>
      <c r="K197" s="112"/>
      <c r="L197" s="111">
        <f t="shared" si="79"/>
        <v>16</v>
      </c>
      <c r="M197" s="110" t="str">
        <f t="shared" si="80"/>
        <v xml:space="preserve"> diciembre</v>
      </c>
      <c r="N197" s="110" t="str">
        <f t="shared" si="81"/>
        <v>2019</v>
      </c>
      <c r="O197" s="109">
        <f t="shared" si="82"/>
        <v>43815</v>
      </c>
      <c r="P197" s="222" t="s">
        <v>567</v>
      </c>
      <c r="Q197" s="112"/>
      <c r="R197" s="112"/>
      <c r="S197" s="111">
        <f t="shared" si="83"/>
        <v>16</v>
      </c>
      <c r="T197" s="110" t="str">
        <f t="shared" si="84"/>
        <v xml:space="preserve"> enero</v>
      </c>
      <c r="U197" s="110" t="str">
        <f t="shared" si="85"/>
        <v>2020</v>
      </c>
      <c r="V197" s="109">
        <f t="shared" si="86"/>
        <v>43846</v>
      </c>
      <c r="W197" s="222"/>
      <c r="X197" s="109">
        <f t="shared" si="87"/>
        <v>43787</v>
      </c>
      <c r="Y197" s="109">
        <f t="shared" si="88"/>
        <v>43815</v>
      </c>
      <c r="Z197" s="109">
        <f t="shared" si="89"/>
        <v>43846</v>
      </c>
    </row>
    <row r="198" spans="1:26" ht="17.25" x14ac:dyDescent="0.25">
      <c r="A198" s="222">
        <v>5</v>
      </c>
      <c r="B198" s="222" t="s">
        <v>568</v>
      </c>
      <c r="C198" s="112"/>
      <c r="D198" s="112"/>
      <c r="E198" s="111">
        <f t="shared" si="75"/>
        <v>19</v>
      </c>
      <c r="F198" s="110" t="str">
        <f t="shared" si="76"/>
        <v xml:space="preserve"> noviembre</v>
      </c>
      <c r="G198" s="110" t="str">
        <f t="shared" si="77"/>
        <v>2019</v>
      </c>
      <c r="H198" s="109">
        <f t="shared" si="78"/>
        <v>43788</v>
      </c>
      <c r="I198" s="222" t="s">
        <v>569</v>
      </c>
      <c r="J198" s="112"/>
      <c r="K198" s="112"/>
      <c r="L198" s="111">
        <f t="shared" si="79"/>
        <v>17</v>
      </c>
      <c r="M198" s="110" t="str">
        <f t="shared" si="80"/>
        <v xml:space="preserve"> diciembre</v>
      </c>
      <c r="N198" s="110" t="str">
        <f t="shared" si="81"/>
        <v>2019</v>
      </c>
      <c r="O198" s="109">
        <f t="shared" si="82"/>
        <v>43816</v>
      </c>
      <c r="P198" s="222" t="s">
        <v>570</v>
      </c>
      <c r="Q198" s="112"/>
      <c r="R198" s="112"/>
      <c r="S198" s="111">
        <f t="shared" si="83"/>
        <v>17</v>
      </c>
      <c r="T198" s="110" t="str">
        <f t="shared" si="84"/>
        <v xml:space="preserve"> enero</v>
      </c>
      <c r="U198" s="110" t="str">
        <f t="shared" si="85"/>
        <v>2020</v>
      </c>
      <c r="V198" s="109">
        <f t="shared" si="86"/>
        <v>43847</v>
      </c>
      <c r="W198" s="222"/>
      <c r="X198" s="109">
        <f t="shared" si="87"/>
        <v>43788</v>
      </c>
      <c r="Y198" s="109">
        <f t="shared" si="88"/>
        <v>43816</v>
      </c>
      <c r="Z198" s="109">
        <f t="shared" si="89"/>
        <v>43847</v>
      </c>
    </row>
    <row r="199" spans="1:26" ht="17.25" x14ac:dyDescent="0.25">
      <c r="A199" s="222">
        <v>4</v>
      </c>
      <c r="B199" s="222" t="s">
        <v>571</v>
      </c>
      <c r="C199" s="112"/>
      <c r="D199" s="112"/>
      <c r="E199" s="111">
        <f t="shared" si="75"/>
        <v>20</v>
      </c>
      <c r="F199" s="110" t="str">
        <f t="shared" si="76"/>
        <v xml:space="preserve"> noviembre</v>
      </c>
      <c r="G199" s="110" t="str">
        <f t="shared" si="77"/>
        <v>2019</v>
      </c>
      <c r="H199" s="109">
        <f t="shared" si="78"/>
        <v>43789</v>
      </c>
      <c r="I199" s="222" t="s">
        <v>572</v>
      </c>
      <c r="J199" s="112"/>
      <c r="K199" s="112"/>
      <c r="L199" s="111">
        <f t="shared" si="79"/>
        <v>18</v>
      </c>
      <c r="M199" s="110" t="str">
        <f t="shared" si="80"/>
        <v xml:space="preserve"> diciembre</v>
      </c>
      <c r="N199" s="110" t="str">
        <f t="shared" si="81"/>
        <v>2019</v>
      </c>
      <c r="O199" s="109">
        <f t="shared" si="82"/>
        <v>43817</v>
      </c>
      <c r="P199" s="222" t="s">
        <v>573</v>
      </c>
      <c r="Q199" s="112"/>
      <c r="R199" s="112"/>
      <c r="S199" s="111">
        <f t="shared" si="83"/>
        <v>20</v>
      </c>
      <c r="T199" s="110" t="str">
        <f t="shared" si="84"/>
        <v xml:space="preserve"> enero</v>
      </c>
      <c r="U199" s="110" t="str">
        <f t="shared" si="85"/>
        <v>2020</v>
      </c>
      <c r="V199" s="109">
        <f t="shared" si="86"/>
        <v>43850</v>
      </c>
      <c r="W199" s="222"/>
      <c r="X199" s="109">
        <f t="shared" si="87"/>
        <v>43789</v>
      </c>
      <c r="Y199" s="109">
        <f t="shared" si="88"/>
        <v>43817</v>
      </c>
      <c r="Z199" s="109">
        <f t="shared" si="89"/>
        <v>43850</v>
      </c>
    </row>
    <row r="200" spans="1:26" ht="17.25" x14ac:dyDescent="0.25">
      <c r="A200" s="222">
        <v>3</v>
      </c>
      <c r="B200" s="222" t="s">
        <v>574</v>
      </c>
      <c r="C200" s="112"/>
      <c r="D200" s="112"/>
      <c r="E200" s="111">
        <f t="shared" si="75"/>
        <v>21</v>
      </c>
      <c r="F200" s="110" t="str">
        <f t="shared" si="76"/>
        <v xml:space="preserve"> noviembre</v>
      </c>
      <c r="G200" s="110" t="str">
        <f t="shared" si="77"/>
        <v>2019</v>
      </c>
      <c r="H200" s="109">
        <f t="shared" si="78"/>
        <v>43790</v>
      </c>
      <c r="I200" s="222" t="s">
        <v>575</v>
      </c>
      <c r="J200" s="112"/>
      <c r="K200" s="112"/>
      <c r="L200" s="111">
        <f t="shared" si="79"/>
        <v>19</v>
      </c>
      <c r="M200" s="110" t="str">
        <f t="shared" si="80"/>
        <v xml:space="preserve"> diciembre</v>
      </c>
      <c r="N200" s="110" t="str">
        <f t="shared" si="81"/>
        <v>2019</v>
      </c>
      <c r="O200" s="109">
        <f t="shared" si="82"/>
        <v>43818</v>
      </c>
      <c r="P200" s="222" t="s">
        <v>576</v>
      </c>
      <c r="Q200" s="112"/>
      <c r="R200" s="112"/>
      <c r="S200" s="111">
        <f t="shared" si="83"/>
        <v>21</v>
      </c>
      <c r="T200" s="110" t="str">
        <f t="shared" si="84"/>
        <v xml:space="preserve"> enero</v>
      </c>
      <c r="U200" s="110" t="str">
        <f t="shared" si="85"/>
        <v>2020</v>
      </c>
      <c r="V200" s="109">
        <f t="shared" si="86"/>
        <v>43851</v>
      </c>
      <c r="W200" s="222"/>
      <c r="X200" s="109">
        <f t="shared" si="87"/>
        <v>43790</v>
      </c>
      <c r="Y200" s="109">
        <f t="shared" si="88"/>
        <v>43818</v>
      </c>
      <c r="Z200" s="109">
        <f t="shared" si="89"/>
        <v>43851</v>
      </c>
    </row>
    <row r="201" spans="1:26" ht="17.25" x14ac:dyDescent="0.25">
      <c r="A201" s="222">
        <v>2</v>
      </c>
      <c r="B201" s="222" t="s">
        <v>577</v>
      </c>
      <c r="C201" s="112"/>
      <c r="D201" s="112"/>
      <c r="E201" s="111">
        <f t="shared" si="75"/>
        <v>22</v>
      </c>
      <c r="F201" s="110" t="str">
        <f t="shared" si="76"/>
        <v xml:space="preserve"> noviembre</v>
      </c>
      <c r="G201" s="110" t="str">
        <f t="shared" si="77"/>
        <v>2019</v>
      </c>
      <c r="H201" s="109">
        <f t="shared" si="78"/>
        <v>43791</v>
      </c>
      <c r="I201" s="222" t="s">
        <v>578</v>
      </c>
      <c r="J201" s="112"/>
      <c r="K201" s="112"/>
      <c r="L201" s="111">
        <f t="shared" si="79"/>
        <v>20</v>
      </c>
      <c r="M201" s="110" t="str">
        <f t="shared" si="80"/>
        <v xml:space="preserve"> diciembre</v>
      </c>
      <c r="N201" s="110" t="str">
        <f t="shared" si="81"/>
        <v>2019</v>
      </c>
      <c r="O201" s="109">
        <f t="shared" si="82"/>
        <v>43819</v>
      </c>
      <c r="P201" s="222" t="s">
        <v>579</v>
      </c>
      <c r="Q201" s="112"/>
      <c r="R201" s="112"/>
      <c r="S201" s="111">
        <f t="shared" si="83"/>
        <v>22</v>
      </c>
      <c r="T201" s="110" t="str">
        <f t="shared" si="84"/>
        <v xml:space="preserve"> enero</v>
      </c>
      <c r="U201" s="110" t="str">
        <f t="shared" si="85"/>
        <v>2020</v>
      </c>
      <c r="V201" s="109">
        <f t="shared" si="86"/>
        <v>43852</v>
      </c>
      <c r="W201" s="222"/>
      <c r="X201" s="109">
        <f t="shared" si="87"/>
        <v>43791</v>
      </c>
      <c r="Y201" s="109">
        <f t="shared" si="88"/>
        <v>43819</v>
      </c>
      <c r="Z201" s="109">
        <f t="shared" si="89"/>
        <v>43852</v>
      </c>
    </row>
    <row r="202" spans="1:26" ht="17.25" x14ac:dyDescent="0.25">
      <c r="A202" s="222">
        <v>1</v>
      </c>
      <c r="B202" s="222" t="s">
        <v>580</v>
      </c>
      <c r="C202" s="112"/>
      <c r="D202" s="112"/>
      <c r="E202" s="143">
        <f t="shared" si="75"/>
        <v>25</v>
      </c>
      <c r="F202" s="144" t="str">
        <f t="shared" si="76"/>
        <v xml:space="preserve"> noviembre</v>
      </c>
      <c r="G202" s="144" t="str">
        <f t="shared" si="77"/>
        <v>2019</v>
      </c>
      <c r="H202" s="145">
        <f t="shared" si="78"/>
        <v>43794</v>
      </c>
      <c r="I202" s="222" t="s">
        <v>581</v>
      </c>
      <c r="J202" s="112"/>
      <c r="K202" s="112"/>
      <c r="L202" s="143">
        <f t="shared" si="79"/>
        <v>23</v>
      </c>
      <c r="M202" s="144" t="str">
        <f t="shared" si="80"/>
        <v xml:space="preserve"> diciembre</v>
      </c>
      <c r="N202" s="144" t="str">
        <f t="shared" si="81"/>
        <v>2019</v>
      </c>
      <c r="O202" s="145">
        <f t="shared" si="82"/>
        <v>43822</v>
      </c>
      <c r="P202" s="222" t="s">
        <v>582</v>
      </c>
      <c r="Q202" s="112"/>
      <c r="R202" s="112"/>
      <c r="S202" s="143">
        <f t="shared" si="83"/>
        <v>23</v>
      </c>
      <c r="T202" s="144" t="str">
        <f t="shared" si="84"/>
        <v xml:space="preserve"> enero</v>
      </c>
      <c r="U202" s="144" t="str">
        <f t="shared" si="85"/>
        <v>2020</v>
      </c>
      <c r="V202" s="145">
        <f t="shared" si="86"/>
        <v>43853</v>
      </c>
      <c r="W202" s="222"/>
      <c r="X202" s="109">
        <f t="shared" si="87"/>
        <v>43794</v>
      </c>
      <c r="Y202" s="109">
        <f t="shared" si="88"/>
        <v>43822</v>
      </c>
      <c r="Z202" s="109">
        <f t="shared" si="89"/>
        <v>43853</v>
      </c>
    </row>
  </sheetData>
  <sortState ref="B80:B82">
    <sortCondition descending="1" ref="B82"/>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L42"/>
  <sheetViews>
    <sheetView showGridLines="0" workbookViewId="0">
      <selection activeCell="A4" sqref="A4"/>
    </sheetView>
  </sheetViews>
  <sheetFormatPr baseColWidth="10" defaultRowHeight="15" x14ac:dyDescent="0.25"/>
  <cols>
    <col min="1" max="3" width="3.140625" customWidth="1"/>
    <col min="4" max="4" width="20.28515625" customWidth="1"/>
    <col min="5" max="5" width="18" bestFit="1" customWidth="1"/>
    <col min="8" max="8" width="17.42578125" customWidth="1"/>
  </cols>
  <sheetData>
    <row r="1" spans="1:10" ht="18.75" x14ac:dyDescent="0.3">
      <c r="A1" s="334" t="s">
        <v>741</v>
      </c>
      <c r="B1" s="334"/>
      <c r="C1" s="334"/>
      <c r="D1" s="334"/>
      <c r="E1" s="334"/>
      <c r="F1" s="334"/>
      <c r="G1" s="334"/>
      <c r="H1" s="334"/>
      <c r="I1" s="334"/>
      <c r="J1" s="334"/>
    </row>
    <row r="3" spans="1:10" ht="62.25" customHeight="1" x14ac:dyDescent="0.25">
      <c r="A3" s="371" t="s">
        <v>742</v>
      </c>
      <c r="B3" s="371"/>
      <c r="C3" s="371"/>
      <c r="D3" s="371"/>
      <c r="E3" s="371"/>
      <c r="F3" s="371"/>
      <c r="G3" s="371"/>
      <c r="H3" s="371"/>
      <c r="I3" s="371"/>
      <c r="J3" s="371"/>
    </row>
    <row r="5" spans="1:10" x14ac:dyDescent="0.25">
      <c r="A5" s="2" t="s">
        <v>57</v>
      </c>
      <c r="B5" s="2"/>
      <c r="C5" s="2"/>
    </row>
    <row r="6" spans="1:10" ht="26.1" customHeight="1" x14ac:dyDescent="0.25">
      <c r="A6" s="372" t="s">
        <v>58</v>
      </c>
      <c r="B6" s="373"/>
      <c r="C6" s="374"/>
      <c r="D6" s="11" t="s">
        <v>59</v>
      </c>
    </row>
    <row r="7" spans="1:10" x14ac:dyDescent="0.25">
      <c r="A7" s="20"/>
      <c r="B7" s="21">
        <v>0</v>
      </c>
      <c r="C7" s="22"/>
      <c r="D7" s="16">
        <v>43949</v>
      </c>
      <c r="E7" s="15"/>
      <c r="G7" s="169"/>
      <c r="H7" s="169"/>
    </row>
    <row r="8" spans="1:10" x14ac:dyDescent="0.25">
      <c r="A8" s="20"/>
      <c r="B8" s="21">
        <v>9</v>
      </c>
      <c r="C8" s="22"/>
      <c r="D8" s="16">
        <v>43950</v>
      </c>
      <c r="G8" s="169"/>
      <c r="H8" s="169"/>
    </row>
    <row r="9" spans="1:10" x14ac:dyDescent="0.25">
      <c r="A9" s="20"/>
      <c r="B9" s="21">
        <v>8</v>
      </c>
      <c r="C9" s="22"/>
      <c r="D9" s="16">
        <v>43951</v>
      </c>
      <c r="G9" s="169"/>
      <c r="H9" s="169"/>
    </row>
    <row r="10" spans="1:10" x14ac:dyDescent="0.25">
      <c r="A10" s="20"/>
      <c r="B10" s="21">
        <v>7</v>
      </c>
      <c r="C10" s="22"/>
      <c r="D10" s="16">
        <v>43955</v>
      </c>
      <c r="G10" s="169"/>
      <c r="H10" s="169"/>
    </row>
    <row r="11" spans="1:10" x14ac:dyDescent="0.25">
      <c r="A11" s="20"/>
      <c r="B11" s="21">
        <v>6</v>
      </c>
      <c r="C11" s="22"/>
      <c r="D11" s="16">
        <v>43956</v>
      </c>
      <c r="G11" s="169"/>
      <c r="H11" s="169"/>
    </row>
    <row r="12" spans="1:10" x14ac:dyDescent="0.25">
      <c r="A12" s="20"/>
      <c r="B12" s="21">
        <v>5</v>
      </c>
      <c r="C12" s="22"/>
      <c r="D12" s="16">
        <v>43957</v>
      </c>
      <c r="G12" s="169"/>
      <c r="H12" s="169"/>
    </row>
    <row r="13" spans="1:10" x14ac:dyDescent="0.25">
      <c r="A13" s="20"/>
      <c r="B13" s="21">
        <v>4</v>
      </c>
      <c r="C13" s="22"/>
      <c r="D13" s="16">
        <v>43958</v>
      </c>
      <c r="G13" s="169"/>
      <c r="H13" s="169"/>
    </row>
    <row r="14" spans="1:10" x14ac:dyDescent="0.25">
      <c r="A14" s="20"/>
      <c r="B14" s="21">
        <v>3</v>
      </c>
      <c r="C14" s="22"/>
      <c r="D14" s="16">
        <v>43959</v>
      </c>
      <c r="G14" s="169"/>
      <c r="H14" s="169"/>
    </row>
    <row r="15" spans="1:10" x14ac:dyDescent="0.25">
      <c r="A15" s="20"/>
      <c r="B15" s="21">
        <v>2</v>
      </c>
      <c r="C15" s="22"/>
      <c r="D15" s="16">
        <v>43962</v>
      </c>
      <c r="G15" s="169"/>
      <c r="H15" s="169"/>
    </row>
    <row r="16" spans="1:10" x14ac:dyDescent="0.25">
      <c r="A16" s="20"/>
      <c r="B16" s="21">
        <v>1</v>
      </c>
      <c r="C16" s="22"/>
      <c r="D16" s="16">
        <v>43963</v>
      </c>
      <c r="G16" s="169"/>
      <c r="H16" s="169"/>
    </row>
    <row r="17" spans="1:12" x14ac:dyDescent="0.25">
      <c r="G17" s="169"/>
      <c r="H17" s="169"/>
    </row>
    <row r="18" spans="1:12" x14ac:dyDescent="0.25">
      <c r="G18" s="169"/>
      <c r="H18" s="169"/>
    </row>
    <row r="19" spans="1:12" x14ac:dyDescent="0.25">
      <c r="A19" s="2" t="s">
        <v>60</v>
      </c>
      <c r="B19" s="2"/>
      <c r="C19" s="2"/>
      <c r="G19" s="169"/>
      <c r="H19" s="169"/>
    </row>
    <row r="20" spans="1:12" ht="24.6" customHeight="1" x14ac:dyDescent="0.25">
      <c r="A20" s="372" t="s">
        <v>61</v>
      </c>
      <c r="B20" s="373"/>
      <c r="C20" s="374"/>
      <c r="D20" s="11" t="s">
        <v>59</v>
      </c>
      <c r="G20" s="157"/>
      <c r="H20" s="157"/>
    </row>
    <row r="21" spans="1:12" x14ac:dyDescent="0.25">
      <c r="A21" s="158">
        <v>1</v>
      </c>
      <c r="B21" s="19" t="s">
        <v>235</v>
      </c>
      <c r="C21" s="158">
        <v>5</v>
      </c>
      <c r="D21" s="16">
        <v>43992</v>
      </c>
      <c r="G21" s="157"/>
      <c r="H21" s="157"/>
      <c r="I21" s="66"/>
      <c r="J21" s="66"/>
      <c r="K21" s="66"/>
      <c r="L21" s="66"/>
    </row>
    <row r="22" spans="1:12" x14ac:dyDescent="0.25">
      <c r="A22" s="158">
        <v>6</v>
      </c>
      <c r="B22" s="19" t="s">
        <v>235</v>
      </c>
      <c r="C22" s="158">
        <v>10</v>
      </c>
      <c r="D22" s="16">
        <v>43991</v>
      </c>
      <c r="G22" s="157"/>
      <c r="H22" s="157"/>
      <c r="I22" s="66"/>
      <c r="J22" s="66"/>
      <c r="K22" s="66"/>
      <c r="L22" s="66"/>
    </row>
    <row r="23" spans="1:12" x14ac:dyDescent="0.25">
      <c r="A23" s="158">
        <v>11</v>
      </c>
      <c r="B23" s="19" t="s">
        <v>235</v>
      </c>
      <c r="C23" s="158">
        <v>15</v>
      </c>
      <c r="D23" s="16">
        <v>43990</v>
      </c>
      <c r="G23" s="157"/>
      <c r="H23" s="157"/>
      <c r="I23" s="66"/>
      <c r="J23" s="66"/>
      <c r="K23" s="66"/>
      <c r="L23" s="66"/>
    </row>
    <row r="24" spans="1:12" x14ac:dyDescent="0.25">
      <c r="A24" s="158">
        <v>16</v>
      </c>
      <c r="B24" s="19" t="s">
        <v>235</v>
      </c>
      <c r="C24" s="158">
        <v>20</v>
      </c>
      <c r="D24" s="16">
        <v>43987</v>
      </c>
      <c r="G24" s="157"/>
      <c r="H24" s="157"/>
      <c r="I24" s="66"/>
      <c r="J24" s="66"/>
      <c r="K24" s="66"/>
      <c r="L24" s="66"/>
    </row>
    <row r="25" spans="1:12" x14ac:dyDescent="0.25">
      <c r="A25" s="158">
        <v>21</v>
      </c>
      <c r="B25" s="19" t="s">
        <v>235</v>
      </c>
      <c r="C25" s="158">
        <v>25</v>
      </c>
      <c r="D25" s="16">
        <v>43986</v>
      </c>
      <c r="G25" s="157"/>
      <c r="H25" s="157"/>
      <c r="I25" s="66"/>
      <c r="J25" s="66"/>
      <c r="K25" s="66"/>
      <c r="L25" s="66"/>
    </row>
    <row r="26" spans="1:12" x14ac:dyDescent="0.25">
      <c r="A26" s="158">
        <v>26</v>
      </c>
      <c r="B26" s="19" t="s">
        <v>235</v>
      </c>
      <c r="C26" s="158">
        <v>30</v>
      </c>
      <c r="D26" s="16">
        <v>43985</v>
      </c>
      <c r="G26" s="157"/>
      <c r="H26" s="157"/>
      <c r="I26" s="66"/>
      <c r="J26" s="66"/>
      <c r="K26" s="66"/>
      <c r="L26" s="66"/>
    </row>
    <row r="27" spans="1:12" x14ac:dyDescent="0.25">
      <c r="A27" s="158">
        <v>31</v>
      </c>
      <c r="B27" s="19" t="s">
        <v>235</v>
      </c>
      <c r="C27" s="158">
        <v>35</v>
      </c>
      <c r="D27" s="16">
        <v>43984</v>
      </c>
      <c r="G27" s="157"/>
      <c r="H27" s="157"/>
      <c r="I27" s="66"/>
      <c r="J27" s="66"/>
      <c r="K27" s="66"/>
      <c r="L27" s="66"/>
    </row>
    <row r="28" spans="1:12" x14ac:dyDescent="0.25">
      <c r="A28" s="158">
        <v>36</v>
      </c>
      <c r="B28" s="19" t="s">
        <v>235</v>
      </c>
      <c r="C28" s="158">
        <v>40</v>
      </c>
      <c r="D28" s="16">
        <v>43983</v>
      </c>
      <c r="G28" s="157"/>
      <c r="H28" s="157"/>
      <c r="I28" s="66"/>
      <c r="J28" s="66"/>
      <c r="K28" s="66"/>
      <c r="L28" s="66"/>
    </row>
    <row r="29" spans="1:12" x14ac:dyDescent="0.25">
      <c r="A29" s="158">
        <v>41</v>
      </c>
      <c r="B29" s="19" t="s">
        <v>235</v>
      </c>
      <c r="C29" s="158">
        <v>45</v>
      </c>
      <c r="D29" s="16">
        <v>43980</v>
      </c>
      <c r="G29" s="157"/>
      <c r="H29" s="157"/>
      <c r="I29" s="66"/>
      <c r="J29" s="66"/>
      <c r="K29" s="66"/>
      <c r="L29" s="66"/>
    </row>
    <row r="30" spans="1:12" x14ac:dyDescent="0.25">
      <c r="A30" s="158">
        <v>46</v>
      </c>
      <c r="B30" s="19" t="s">
        <v>235</v>
      </c>
      <c r="C30" s="158">
        <v>50</v>
      </c>
      <c r="D30" s="16">
        <v>43979</v>
      </c>
      <c r="G30" s="157"/>
      <c r="H30" s="157"/>
      <c r="I30" s="66"/>
      <c r="J30" s="66"/>
      <c r="K30" s="66"/>
      <c r="L30" s="66"/>
    </row>
    <row r="31" spans="1:12" x14ac:dyDescent="0.25">
      <c r="A31" s="158">
        <v>51</v>
      </c>
      <c r="B31" s="19" t="s">
        <v>235</v>
      </c>
      <c r="C31" s="158">
        <v>55</v>
      </c>
      <c r="D31" s="16">
        <v>43978</v>
      </c>
      <c r="G31" s="157"/>
      <c r="H31" s="157"/>
      <c r="I31" s="66"/>
      <c r="J31" s="66"/>
      <c r="K31" s="66"/>
      <c r="L31" s="66"/>
    </row>
    <row r="32" spans="1:12" x14ac:dyDescent="0.25">
      <c r="A32" s="158">
        <v>56</v>
      </c>
      <c r="B32" s="19" t="s">
        <v>235</v>
      </c>
      <c r="C32" s="158">
        <v>60</v>
      </c>
      <c r="D32" s="16">
        <v>43977</v>
      </c>
      <c r="G32" s="157"/>
      <c r="H32" s="157"/>
      <c r="I32" s="66"/>
      <c r="J32" s="66"/>
      <c r="K32" s="66"/>
      <c r="L32" s="66"/>
    </row>
    <row r="33" spans="1:12" x14ac:dyDescent="0.25">
      <c r="A33" s="158">
        <v>61</v>
      </c>
      <c r="B33" s="19" t="s">
        <v>235</v>
      </c>
      <c r="C33" s="158">
        <v>65</v>
      </c>
      <c r="D33" s="16">
        <v>43973</v>
      </c>
      <c r="G33" s="157"/>
      <c r="H33" s="157"/>
      <c r="I33" s="66"/>
      <c r="J33" s="66"/>
      <c r="K33" s="66"/>
      <c r="L33" s="66"/>
    </row>
    <row r="34" spans="1:12" x14ac:dyDescent="0.25">
      <c r="A34" s="158">
        <v>66</v>
      </c>
      <c r="B34" s="19" t="s">
        <v>235</v>
      </c>
      <c r="C34" s="158">
        <v>70</v>
      </c>
      <c r="D34" s="16">
        <v>43972</v>
      </c>
      <c r="G34" s="157"/>
      <c r="H34" s="157"/>
      <c r="I34" s="66"/>
      <c r="J34" s="66"/>
      <c r="K34" s="66"/>
      <c r="L34" s="66"/>
    </row>
    <row r="35" spans="1:12" x14ac:dyDescent="0.25">
      <c r="A35" s="158">
        <v>71</v>
      </c>
      <c r="B35" s="19" t="s">
        <v>235</v>
      </c>
      <c r="C35" s="158">
        <v>75</v>
      </c>
      <c r="D35" s="16">
        <v>43971</v>
      </c>
      <c r="G35" s="157"/>
      <c r="H35" s="157"/>
      <c r="I35" s="66"/>
      <c r="J35" s="66"/>
      <c r="K35" s="66"/>
      <c r="L35" s="66"/>
    </row>
    <row r="36" spans="1:12" x14ac:dyDescent="0.25">
      <c r="A36" s="158">
        <v>76</v>
      </c>
      <c r="B36" s="19" t="s">
        <v>235</v>
      </c>
      <c r="C36" s="158">
        <v>80</v>
      </c>
      <c r="D36" s="16">
        <v>43970</v>
      </c>
      <c r="G36" s="157"/>
      <c r="H36" s="157"/>
      <c r="I36" s="66"/>
      <c r="J36" s="66"/>
      <c r="K36" s="66"/>
      <c r="L36" s="66"/>
    </row>
    <row r="37" spans="1:12" x14ac:dyDescent="0.25">
      <c r="A37" s="158">
        <v>81</v>
      </c>
      <c r="B37" s="19" t="s">
        <v>235</v>
      </c>
      <c r="C37" s="158">
        <v>85</v>
      </c>
      <c r="D37" s="16">
        <v>43969</v>
      </c>
      <c r="G37" s="157"/>
      <c r="H37" s="157"/>
      <c r="I37" s="66"/>
      <c r="J37" s="66"/>
      <c r="K37" s="66"/>
      <c r="L37" s="66"/>
    </row>
    <row r="38" spans="1:12" x14ac:dyDescent="0.25">
      <c r="A38" s="158">
        <v>86</v>
      </c>
      <c r="B38" s="19" t="s">
        <v>235</v>
      </c>
      <c r="C38" s="158">
        <v>90</v>
      </c>
      <c r="D38" s="16">
        <v>43966</v>
      </c>
      <c r="G38" s="157"/>
      <c r="H38" s="157"/>
      <c r="I38" s="66"/>
      <c r="J38" s="66"/>
      <c r="K38" s="66"/>
      <c r="L38" s="66"/>
    </row>
    <row r="39" spans="1:12" x14ac:dyDescent="0.25">
      <c r="A39" s="158">
        <v>91</v>
      </c>
      <c r="B39" s="19" t="s">
        <v>235</v>
      </c>
      <c r="C39" s="158">
        <v>95</v>
      </c>
      <c r="D39" s="16">
        <v>43965</v>
      </c>
      <c r="G39" s="157"/>
      <c r="H39" s="157"/>
      <c r="I39" s="66"/>
      <c r="J39" s="66"/>
      <c r="K39" s="66"/>
      <c r="L39" s="66"/>
    </row>
    <row r="40" spans="1:12" x14ac:dyDescent="0.25">
      <c r="A40" s="158">
        <v>96</v>
      </c>
      <c r="B40" s="19" t="s">
        <v>235</v>
      </c>
      <c r="C40" s="158">
        <v>0</v>
      </c>
      <c r="D40" s="16">
        <v>43964</v>
      </c>
      <c r="G40" s="157"/>
      <c r="H40" s="157"/>
      <c r="I40" s="66"/>
      <c r="J40" s="66"/>
      <c r="K40" s="66"/>
      <c r="L40" s="66"/>
    </row>
    <row r="41" spans="1:12" x14ac:dyDescent="0.25">
      <c r="A41" s="19">
        <v>0</v>
      </c>
      <c r="B41" s="19"/>
      <c r="C41" s="19"/>
      <c r="D41" s="16">
        <f>+D40</f>
        <v>43964</v>
      </c>
      <c r="G41" s="157"/>
      <c r="H41" s="157"/>
      <c r="I41" s="66"/>
      <c r="J41" s="66"/>
      <c r="K41" s="66"/>
      <c r="L41" s="66"/>
    </row>
    <row r="42" spans="1:12" x14ac:dyDescent="0.25">
      <c r="G42" s="157"/>
      <c r="H42" s="157"/>
      <c r="I42" s="66"/>
      <c r="J42" s="66"/>
      <c r="K42" s="66"/>
      <c r="L42" s="66"/>
    </row>
  </sheetData>
  <sortState ref="A21:D40">
    <sortCondition ref="A40"/>
  </sortState>
  <mergeCells count="4">
    <mergeCell ref="A3:J3"/>
    <mergeCell ref="A1:J1"/>
    <mergeCell ref="A6:C6"/>
    <mergeCell ref="A20:C20"/>
  </mergeCells>
  <pageMargins left="0.7" right="0.7" top="0.75" bottom="0.75" header="0.3" footer="0.3"/>
  <pageSetup orientation="portrait"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G17"/>
  <sheetViews>
    <sheetView showGridLines="0" zoomScale="115" zoomScaleNormal="115" workbookViewId="0">
      <selection activeCell="E6" sqref="E6"/>
    </sheetView>
  </sheetViews>
  <sheetFormatPr baseColWidth="10" defaultColWidth="11.5703125" defaultRowHeight="15" x14ac:dyDescent="0.25"/>
  <cols>
    <col min="1" max="1" width="8.28515625" style="46" customWidth="1"/>
    <col min="2" max="4" width="14.42578125" style="46" customWidth="1"/>
    <col min="5" max="6" width="18.140625" style="46" customWidth="1"/>
    <col min="7" max="7" width="14.42578125" style="46" customWidth="1"/>
    <col min="8" max="16384" width="11.5703125" style="46"/>
  </cols>
  <sheetData>
    <row r="1" spans="1:7" ht="18.75" x14ac:dyDescent="0.3">
      <c r="A1" s="334" t="s">
        <v>749</v>
      </c>
      <c r="B1" s="334"/>
      <c r="C1" s="334"/>
      <c r="D1" s="334"/>
      <c r="E1" s="334"/>
      <c r="F1" s="334"/>
      <c r="G1" s="334"/>
    </row>
    <row r="2" spans="1:7" x14ac:dyDescent="0.25">
      <c r="A2" s="378"/>
      <c r="B2" s="378"/>
    </row>
    <row r="3" spans="1:7" x14ac:dyDescent="0.25">
      <c r="A3" s="5" t="s">
        <v>751</v>
      </c>
    </row>
    <row r="5" spans="1:7" ht="18.75" customHeight="1" x14ac:dyDescent="0.25">
      <c r="A5" s="377" t="s">
        <v>750</v>
      </c>
      <c r="B5" s="377"/>
      <c r="C5" s="377"/>
      <c r="D5" s="377"/>
      <c r="E5" s="377"/>
      <c r="F5" s="377"/>
      <c r="G5" s="377"/>
    </row>
    <row r="6" spans="1:7" ht="30" x14ac:dyDescent="0.25">
      <c r="A6" s="375" t="s">
        <v>755</v>
      </c>
      <c r="B6" s="319" t="s">
        <v>756</v>
      </c>
      <c r="C6" s="319" t="s">
        <v>757</v>
      </c>
      <c r="D6" s="320" t="s">
        <v>758</v>
      </c>
      <c r="E6" s="319" t="s">
        <v>759</v>
      </c>
      <c r="F6" s="319" t="s">
        <v>760</v>
      </c>
      <c r="G6" s="321" t="s">
        <v>761</v>
      </c>
    </row>
    <row r="7" spans="1:7" x14ac:dyDescent="0.25">
      <c r="A7" s="376"/>
      <c r="B7" s="304" t="s">
        <v>762</v>
      </c>
      <c r="C7" s="304" t="s">
        <v>762</v>
      </c>
      <c r="D7" s="305" t="s">
        <v>762</v>
      </c>
      <c r="E7" s="304" t="s">
        <v>762</v>
      </c>
      <c r="F7" s="304" t="s">
        <v>762</v>
      </c>
      <c r="G7" s="306" t="s">
        <v>762</v>
      </c>
    </row>
    <row r="8" spans="1:7" x14ac:dyDescent="0.25">
      <c r="A8" s="1">
        <v>0</v>
      </c>
      <c r="B8" s="307">
        <v>43900</v>
      </c>
      <c r="C8" s="308">
        <v>43963</v>
      </c>
      <c r="D8" s="309">
        <v>44019</v>
      </c>
      <c r="E8" s="308">
        <v>44082</v>
      </c>
      <c r="F8" s="308">
        <v>44145</v>
      </c>
      <c r="G8" s="310">
        <v>44209</v>
      </c>
    </row>
    <row r="9" spans="1:7" x14ac:dyDescent="0.25">
      <c r="A9" s="1">
        <v>9</v>
      </c>
      <c r="B9" s="311">
        <v>43901</v>
      </c>
      <c r="C9" s="312">
        <v>43964</v>
      </c>
      <c r="D9" s="313">
        <v>44020</v>
      </c>
      <c r="E9" s="312">
        <v>44083</v>
      </c>
      <c r="F9" s="312">
        <v>44146</v>
      </c>
      <c r="G9" s="314">
        <v>44210</v>
      </c>
    </row>
    <row r="10" spans="1:7" x14ac:dyDescent="0.25">
      <c r="A10" s="1">
        <v>8</v>
      </c>
      <c r="B10" s="311">
        <v>43902</v>
      </c>
      <c r="C10" s="312">
        <v>43965</v>
      </c>
      <c r="D10" s="313">
        <v>44021</v>
      </c>
      <c r="E10" s="312">
        <v>44084</v>
      </c>
      <c r="F10" s="312">
        <v>44147</v>
      </c>
      <c r="G10" s="314">
        <v>44211</v>
      </c>
    </row>
    <row r="11" spans="1:7" x14ac:dyDescent="0.25">
      <c r="A11" s="1">
        <v>7</v>
      </c>
      <c r="B11" s="311">
        <v>43903</v>
      </c>
      <c r="C11" s="312">
        <v>43966</v>
      </c>
      <c r="D11" s="313">
        <v>44022</v>
      </c>
      <c r="E11" s="312">
        <v>44085</v>
      </c>
      <c r="F11" s="312">
        <v>44148</v>
      </c>
      <c r="G11" s="314">
        <v>44214</v>
      </c>
    </row>
    <row r="12" spans="1:7" x14ac:dyDescent="0.25">
      <c r="A12" s="1">
        <v>6</v>
      </c>
      <c r="B12" s="311">
        <v>43906</v>
      </c>
      <c r="C12" s="312">
        <v>43969</v>
      </c>
      <c r="D12" s="313">
        <v>44025</v>
      </c>
      <c r="E12" s="312">
        <v>44088</v>
      </c>
      <c r="F12" s="312">
        <v>44152</v>
      </c>
      <c r="G12" s="314">
        <v>44215</v>
      </c>
    </row>
    <row r="13" spans="1:7" x14ac:dyDescent="0.25">
      <c r="A13" s="1">
        <v>5</v>
      </c>
      <c r="B13" s="311">
        <v>43907</v>
      </c>
      <c r="C13" s="312">
        <v>43970</v>
      </c>
      <c r="D13" s="313">
        <v>44026</v>
      </c>
      <c r="E13" s="312">
        <v>44089</v>
      </c>
      <c r="F13" s="312">
        <v>44153</v>
      </c>
      <c r="G13" s="314">
        <v>44216</v>
      </c>
    </row>
    <row r="14" spans="1:7" x14ac:dyDescent="0.25">
      <c r="A14" s="1">
        <v>4</v>
      </c>
      <c r="B14" s="311">
        <v>43908</v>
      </c>
      <c r="C14" s="312">
        <v>43971</v>
      </c>
      <c r="D14" s="313">
        <v>44027</v>
      </c>
      <c r="E14" s="312">
        <v>44090</v>
      </c>
      <c r="F14" s="312">
        <v>44154</v>
      </c>
      <c r="G14" s="314">
        <v>44217</v>
      </c>
    </row>
    <row r="15" spans="1:7" x14ac:dyDescent="0.25">
      <c r="A15" s="1">
        <v>3</v>
      </c>
      <c r="B15" s="311">
        <v>43909</v>
      </c>
      <c r="C15" s="312">
        <v>43972</v>
      </c>
      <c r="D15" s="313">
        <v>44028</v>
      </c>
      <c r="E15" s="312">
        <v>44091</v>
      </c>
      <c r="F15" s="312">
        <v>44155</v>
      </c>
      <c r="G15" s="314">
        <v>44218</v>
      </c>
    </row>
    <row r="16" spans="1:7" x14ac:dyDescent="0.25">
      <c r="A16" s="1">
        <v>2</v>
      </c>
      <c r="B16" s="311">
        <v>43910</v>
      </c>
      <c r="C16" s="312">
        <v>43973</v>
      </c>
      <c r="D16" s="313">
        <v>44029</v>
      </c>
      <c r="E16" s="312">
        <v>44092</v>
      </c>
      <c r="F16" s="312">
        <v>44158</v>
      </c>
      <c r="G16" s="314">
        <v>44221</v>
      </c>
    </row>
    <row r="17" spans="1:7" x14ac:dyDescent="0.25">
      <c r="A17" s="1">
        <v>1</v>
      </c>
      <c r="B17" s="315">
        <v>43914</v>
      </c>
      <c r="C17" s="316">
        <v>43977</v>
      </c>
      <c r="D17" s="317">
        <v>44033</v>
      </c>
      <c r="E17" s="316">
        <v>44095</v>
      </c>
      <c r="F17" s="316">
        <v>44159</v>
      </c>
      <c r="G17" s="318">
        <v>44222</v>
      </c>
    </row>
  </sheetData>
  <mergeCells count="4">
    <mergeCell ref="A6:A7"/>
    <mergeCell ref="A5:G5"/>
    <mergeCell ref="A1:G1"/>
    <mergeCell ref="A2:B2"/>
  </mergeCells>
  <pageMargins left="0.7" right="0.7" top="0.75" bottom="0.75" header="0.3" footer="0.3"/>
  <pageSetup orientation="portrait" horizontalDpi="120" verticalDpi="14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Q88"/>
  <sheetViews>
    <sheetView workbookViewId="0">
      <selection activeCell="D25" sqref="D25"/>
    </sheetView>
  </sheetViews>
  <sheetFormatPr baseColWidth="10" defaultColWidth="11.5703125" defaultRowHeight="15" x14ac:dyDescent="0.25"/>
  <cols>
    <col min="1" max="1" width="5.5703125" style="91" customWidth="1"/>
    <col min="2" max="3" width="9.5703125" style="91" bestFit="1" customWidth="1"/>
    <col min="4" max="4" width="9" style="91" bestFit="1" customWidth="1"/>
    <col min="5" max="5" width="9.85546875" style="91" bestFit="1" customWidth="1"/>
    <col min="6" max="8" width="9.28515625" style="91" bestFit="1" customWidth="1"/>
    <col min="9" max="9" width="9.140625" style="91" bestFit="1" customWidth="1"/>
    <col min="10" max="10" width="9" style="91" bestFit="1" customWidth="1"/>
    <col min="11" max="11" width="9.28515625" style="91" bestFit="1" customWidth="1"/>
    <col min="12" max="12" width="8.7109375" style="91" bestFit="1" customWidth="1"/>
    <col min="13" max="13" width="9.28515625" style="91" bestFit="1" customWidth="1"/>
    <col min="14" max="16384" width="11.5703125" style="91"/>
  </cols>
  <sheetData>
    <row r="1" spans="1:13" x14ac:dyDescent="0.25">
      <c r="C1" s="91" t="s">
        <v>194</v>
      </c>
    </row>
    <row r="3" spans="1:13" x14ac:dyDescent="0.25">
      <c r="A3" s="379" t="s">
        <v>193</v>
      </c>
      <c r="B3" s="379"/>
      <c r="C3" s="379"/>
      <c r="D3" s="379"/>
      <c r="E3" s="379"/>
      <c r="F3" s="379"/>
      <c r="G3" s="379"/>
      <c r="H3" s="379"/>
      <c r="I3" s="379"/>
      <c r="J3" s="379"/>
      <c r="K3" s="379"/>
      <c r="L3" s="379"/>
      <c r="M3" s="379"/>
    </row>
    <row r="4" spans="1:13" ht="19.899999999999999" customHeight="1" x14ac:dyDescent="0.25">
      <c r="A4" s="93" t="s">
        <v>178</v>
      </c>
      <c r="B4" s="13" t="s">
        <v>192</v>
      </c>
      <c r="C4" s="13" t="s">
        <v>191</v>
      </c>
      <c r="D4" s="13" t="s">
        <v>190</v>
      </c>
      <c r="E4" s="13" t="s">
        <v>189</v>
      </c>
      <c r="F4" s="13" t="s">
        <v>188</v>
      </c>
      <c r="G4" s="13" t="s">
        <v>187</v>
      </c>
      <c r="H4" s="13" t="s">
        <v>186</v>
      </c>
      <c r="I4" s="13" t="s">
        <v>185</v>
      </c>
      <c r="J4" s="13" t="s">
        <v>184</v>
      </c>
      <c r="K4" s="13" t="s">
        <v>183</v>
      </c>
      <c r="L4" s="13" t="s">
        <v>182</v>
      </c>
      <c r="M4" s="13" t="s">
        <v>181</v>
      </c>
    </row>
    <row r="5" spans="1:13" x14ac:dyDescent="0.25">
      <c r="A5" s="3">
        <v>0</v>
      </c>
      <c r="B5" s="17">
        <v>41320</v>
      </c>
      <c r="C5" s="17">
        <v>41344</v>
      </c>
      <c r="D5" s="17">
        <v>41379</v>
      </c>
      <c r="E5" s="17">
        <v>41409</v>
      </c>
      <c r="F5" s="17">
        <v>41442</v>
      </c>
      <c r="G5" s="17">
        <v>41470</v>
      </c>
      <c r="H5" s="17">
        <v>41502</v>
      </c>
      <c r="I5" s="17">
        <v>41533</v>
      </c>
      <c r="J5" s="17">
        <v>41562</v>
      </c>
      <c r="K5" s="17">
        <v>41593</v>
      </c>
      <c r="L5" s="17">
        <v>41620</v>
      </c>
      <c r="M5" s="17">
        <v>41654</v>
      </c>
    </row>
    <row r="6" spans="1:13" x14ac:dyDescent="0.25">
      <c r="A6" s="3">
        <v>9</v>
      </c>
      <c r="B6" s="17">
        <v>41323</v>
      </c>
      <c r="C6" s="17">
        <v>41345</v>
      </c>
      <c r="D6" s="17">
        <v>41380</v>
      </c>
      <c r="E6" s="17">
        <v>41410</v>
      </c>
      <c r="F6" s="17">
        <v>41443</v>
      </c>
      <c r="G6" s="17">
        <v>41471</v>
      </c>
      <c r="H6" s="17">
        <v>41506</v>
      </c>
      <c r="I6" s="17">
        <v>41534</v>
      </c>
      <c r="J6" s="17">
        <v>41563</v>
      </c>
      <c r="K6" s="17">
        <v>41596</v>
      </c>
      <c r="L6" s="17">
        <v>41621</v>
      </c>
      <c r="M6" s="17">
        <v>41655</v>
      </c>
    </row>
    <row r="7" spans="1:13" x14ac:dyDescent="0.25">
      <c r="A7" s="3">
        <v>8</v>
      </c>
      <c r="B7" s="17">
        <v>41324</v>
      </c>
      <c r="C7" s="17">
        <v>41346</v>
      </c>
      <c r="D7" s="17">
        <v>41381</v>
      </c>
      <c r="E7" s="17">
        <v>41411</v>
      </c>
      <c r="F7" s="17">
        <v>41444</v>
      </c>
      <c r="G7" s="17">
        <v>41472</v>
      </c>
      <c r="H7" s="17">
        <v>41507</v>
      </c>
      <c r="I7" s="17">
        <v>41535</v>
      </c>
      <c r="J7" s="17">
        <v>41564</v>
      </c>
      <c r="K7" s="17">
        <v>41597</v>
      </c>
      <c r="L7" s="17">
        <v>41624</v>
      </c>
      <c r="M7" s="17">
        <v>41656</v>
      </c>
    </row>
    <row r="8" spans="1:13" x14ac:dyDescent="0.25">
      <c r="A8" s="3">
        <v>7</v>
      </c>
      <c r="B8" s="17">
        <v>41325</v>
      </c>
      <c r="C8" s="17">
        <v>41347</v>
      </c>
      <c r="D8" s="17">
        <v>41382</v>
      </c>
      <c r="E8" s="17">
        <v>41414</v>
      </c>
      <c r="F8" s="17">
        <v>41445</v>
      </c>
      <c r="G8" s="17">
        <v>41473</v>
      </c>
      <c r="H8" s="17">
        <v>41508</v>
      </c>
      <c r="I8" s="17">
        <v>41536</v>
      </c>
      <c r="J8" s="17">
        <v>41565</v>
      </c>
      <c r="K8" s="17">
        <v>41598</v>
      </c>
      <c r="L8" s="17">
        <v>41625</v>
      </c>
      <c r="M8" s="17">
        <v>41659</v>
      </c>
    </row>
    <row r="9" spans="1:13" x14ac:dyDescent="0.25">
      <c r="A9" s="3">
        <v>6</v>
      </c>
      <c r="B9" s="17">
        <v>41326</v>
      </c>
      <c r="C9" s="17">
        <v>41348</v>
      </c>
      <c r="D9" s="17">
        <v>41383</v>
      </c>
      <c r="E9" s="17">
        <v>41415</v>
      </c>
      <c r="F9" s="17">
        <v>41446</v>
      </c>
      <c r="G9" s="17">
        <v>41474</v>
      </c>
      <c r="H9" s="17">
        <v>41509</v>
      </c>
      <c r="I9" s="17">
        <v>41537</v>
      </c>
      <c r="J9" s="17">
        <v>41568</v>
      </c>
      <c r="K9" s="17">
        <v>41599</v>
      </c>
      <c r="L9" s="17">
        <v>41626</v>
      </c>
      <c r="M9" s="17">
        <v>41660</v>
      </c>
    </row>
    <row r="10" spans="1:13" x14ac:dyDescent="0.25">
      <c r="A10" s="3">
        <v>5</v>
      </c>
      <c r="B10" s="17">
        <v>41327</v>
      </c>
      <c r="C10" s="17">
        <v>41351</v>
      </c>
      <c r="D10" s="17">
        <v>41386</v>
      </c>
      <c r="E10" s="17">
        <v>41416</v>
      </c>
      <c r="F10" s="17">
        <v>41449</v>
      </c>
      <c r="G10" s="17">
        <v>41477</v>
      </c>
      <c r="H10" s="17">
        <v>41512</v>
      </c>
      <c r="I10" s="17">
        <v>41540</v>
      </c>
      <c r="J10" s="17">
        <v>41569</v>
      </c>
      <c r="K10" s="17">
        <v>41600</v>
      </c>
      <c r="L10" s="17">
        <v>41627</v>
      </c>
      <c r="M10" s="17">
        <v>41661</v>
      </c>
    </row>
    <row r="11" spans="1:13" x14ac:dyDescent="0.25">
      <c r="A11" s="3">
        <v>4</v>
      </c>
      <c r="B11" s="17">
        <v>41330</v>
      </c>
      <c r="C11" s="17">
        <v>41352</v>
      </c>
      <c r="D11" s="17">
        <v>41387</v>
      </c>
      <c r="E11" s="17">
        <v>41417</v>
      </c>
      <c r="F11" s="17">
        <v>41450</v>
      </c>
      <c r="G11" s="17">
        <v>41478</v>
      </c>
      <c r="H11" s="17">
        <v>41513</v>
      </c>
      <c r="I11" s="17">
        <v>41541</v>
      </c>
      <c r="J11" s="17">
        <v>41570</v>
      </c>
      <c r="K11" s="17">
        <v>41603</v>
      </c>
      <c r="L11" s="17">
        <v>41628</v>
      </c>
      <c r="M11" s="17">
        <v>41662</v>
      </c>
    </row>
    <row r="12" spans="1:13" x14ac:dyDescent="0.25">
      <c r="A12" s="3">
        <v>3</v>
      </c>
      <c r="B12" s="17">
        <v>41331</v>
      </c>
      <c r="C12" s="17">
        <v>41353</v>
      </c>
      <c r="D12" s="17">
        <v>41388</v>
      </c>
      <c r="E12" s="17">
        <v>41418</v>
      </c>
      <c r="F12" s="17">
        <v>41451</v>
      </c>
      <c r="G12" s="17">
        <v>41479</v>
      </c>
      <c r="H12" s="17">
        <v>41514</v>
      </c>
      <c r="I12" s="17">
        <v>41542</v>
      </c>
      <c r="J12" s="17">
        <v>41571</v>
      </c>
      <c r="K12" s="17">
        <v>41604</v>
      </c>
      <c r="L12" s="17">
        <v>41631</v>
      </c>
      <c r="M12" s="17">
        <v>41663</v>
      </c>
    </row>
    <row r="13" spans="1:13" x14ac:dyDescent="0.25">
      <c r="A13" s="3">
        <v>2</v>
      </c>
      <c r="B13" s="17">
        <v>41332</v>
      </c>
      <c r="C13" s="17">
        <v>41354</v>
      </c>
      <c r="D13" s="17">
        <v>41389</v>
      </c>
      <c r="E13" s="17">
        <v>41421</v>
      </c>
      <c r="F13" s="17">
        <v>41452</v>
      </c>
      <c r="G13" s="17">
        <v>41480</v>
      </c>
      <c r="H13" s="17">
        <v>41515</v>
      </c>
      <c r="I13" s="17">
        <v>41543</v>
      </c>
      <c r="J13" s="17">
        <v>41572</v>
      </c>
      <c r="K13" s="17">
        <v>41605</v>
      </c>
      <c r="L13" s="17">
        <v>41634</v>
      </c>
      <c r="M13" s="17">
        <v>41666</v>
      </c>
    </row>
    <row r="14" spans="1:13" x14ac:dyDescent="0.25">
      <c r="A14" s="3">
        <v>1</v>
      </c>
      <c r="B14" s="17">
        <v>41333</v>
      </c>
      <c r="C14" s="17">
        <v>41355</v>
      </c>
      <c r="D14" s="17">
        <v>41390</v>
      </c>
      <c r="E14" s="17">
        <v>41422</v>
      </c>
      <c r="F14" s="17">
        <v>41453</v>
      </c>
      <c r="G14" s="17">
        <v>41481</v>
      </c>
      <c r="H14" s="17">
        <v>41516</v>
      </c>
      <c r="I14" s="17">
        <v>41544</v>
      </c>
      <c r="J14" s="17">
        <v>41575</v>
      </c>
      <c r="K14" s="17">
        <v>41606</v>
      </c>
      <c r="L14" s="17">
        <v>41635</v>
      </c>
      <c r="M14" s="17">
        <v>41667</v>
      </c>
    </row>
    <row r="15" spans="1:13" x14ac:dyDescent="0.25">
      <c r="B15" s="17"/>
      <c r="C15" s="17"/>
      <c r="D15" s="17"/>
      <c r="E15" s="17"/>
      <c r="F15" s="17"/>
      <c r="G15" s="17"/>
      <c r="H15" s="17"/>
      <c r="I15" s="17"/>
      <c r="J15" s="17"/>
      <c r="K15" s="17"/>
    </row>
    <row r="16" spans="1:13" x14ac:dyDescent="0.25">
      <c r="B16" s="17"/>
      <c r="C16" s="17"/>
      <c r="D16" s="17"/>
      <c r="E16" s="17"/>
      <c r="F16" s="17"/>
      <c r="G16" s="17"/>
      <c r="H16" s="17"/>
      <c r="I16" s="17"/>
      <c r="J16" s="17"/>
      <c r="K16" s="17"/>
    </row>
    <row r="17" spans="1:17" x14ac:dyDescent="0.25">
      <c r="A17" s="380" t="s">
        <v>180</v>
      </c>
      <c r="B17" s="380"/>
      <c r="C17" s="380"/>
      <c r="D17" s="380"/>
      <c r="E17" s="380"/>
      <c r="F17" s="380"/>
      <c r="G17" s="380"/>
      <c r="I17" s="45" t="s">
        <v>179</v>
      </c>
    </row>
    <row r="18" spans="1:17" ht="18" x14ac:dyDescent="0.25">
      <c r="A18" s="93" t="s">
        <v>178</v>
      </c>
      <c r="B18" s="13" t="s">
        <v>177</v>
      </c>
      <c r="C18" s="13" t="s">
        <v>176</v>
      </c>
      <c r="D18" s="13" t="s">
        <v>175</v>
      </c>
      <c r="E18" s="13" t="s">
        <v>174</v>
      </c>
      <c r="F18" s="13" t="s">
        <v>173</v>
      </c>
      <c r="G18" s="13" t="s">
        <v>172</v>
      </c>
      <c r="I18" s="13" t="s">
        <v>171</v>
      </c>
      <c r="L18" s="14" t="s">
        <v>170</v>
      </c>
    </row>
    <row r="19" spans="1:17" x14ac:dyDescent="0.25">
      <c r="A19" s="3">
        <v>0</v>
      </c>
      <c r="B19" s="17">
        <v>41344</v>
      </c>
      <c r="C19" s="17">
        <v>41409</v>
      </c>
      <c r="D19" s="17">
        <v>41470</v>
      </c>
      <c r="E19" s="17">
        <v>41533</v>
      </c>
      <c r="F19" s="17">
        <v>41593</v>
      </c>
      <c r="G19" s="17">
        <v>41654</v>
      </c>
      <c r="I19" s="91" t="s">
        <v>169</v>
      </c>
      <c r="L19" s="91" t="s">
        <v>168</v>
      </c>
    </row>
    <row r="20" spans="1:17" x14ac:dyDescent="0.25">
      <c r="A20" s="3">
        <v>9</v>
      </c>
      <c r="B20" s="17">
        <v>41345</v>
      </c>
      <c r="C20" s="17">
        <v>41410</v>
      </c>
      <c r="D20" s="17">
        <v>41471</v>
      </c>
      <c r="E20" s="17">
        <v>41534</v>
      </c>
      <c r="F20" s="17">
        <v>41596</v>
      </c>
      <c r="G20" s="17">
        <v>41655</v>
      </c>
      <c r="I20" s="91" t="s">
        <v>167</v>
      </c>
      <c r="L20" s="91" t="s">
        <v>166</v>
      </c>
    </row>
    <row r="21" spans="1:17" x14ac:dyDescent="0.25">
      <c r="A21" s="3">
        <v>8</v>
      </c>
      <c r="B21" s="17">
        <v>41346</v>
      </c>
      <c r="C21" s="17">
        <v>41411</v>
      </c>
      <c r="D21" s="17">
        <v>41472</v>
      </c>
      <c r="E21" s="17">
        <v>41535</v>
      </c>
      <c r="F21" s="17">
        <v>41597</v>
      </c>
      <c r="G21" s="17">
        <v>41656</v>
      </c>
      <c r="I21" s="91" t="s">
        <v>165</v>
      </c>
      <c r="L21" s="91" t="s">
        <v>164</v>
      </c>
      <c r="P21" s="91">
        <v>2</v>
      </c>
      <c r="Q21" s="91" t="s">
        <v>163</v>
      </c>
    </row>
    <row r="22" spans="1:17" x14ac:dyDescent="0.25">
      <c r="A22" s="3">
        <v>7</v>
      </c>
      <c r="B22" s="17">
        <v>41347</v>
      </c>
      <c r="C22" s="17">
        <v>41414</v>
      </c>
      <c r="D22" s="17">
        <v>41473</v>
      </c>
      <c r="E22" s="17">
        <v>41536</v>
      </c>
      <c r="F22" s="17">
        <v>41598</v>
      </c>
      <c r="G22" s="17">
        <v>41659</v>
      </c>
      <c r="I22" s="91" t="s">
        <v>162</v>
      </c>
      <c r="L22" s="91" t="s">
        <v>161</v>
      </c>
      <c r="P22" s="91">
        <v>4</v>
      </c>
      <c r="Q22" s="91" t="s">
        <v>160</v>
      </c>
    </row>
    <row r="23" spans="1:17" x14ac:dyDescent="0.25">
      <c r="A23" s="3">
        <v>6</v>
      </c>
      <c r="B23" s="17">
        <v>41348</v>
      </c>
      <c r="C23" s="17">
        <v>41415</v>
      </c>
      <c r="D23" s="17">
        <v>41474</v>
      </c>
      <c r="E23" s="17">
        <v>41537</v>
      </c>
      <c r="F23" s="17">
        <v>41599</v>
      </c>
      <c r="G23" s="17">
        <v>41660</v>
      </c>
      <c r="I23" s="91" t="s">
        <v>159</v>
      </c>
      <c r="L23" s="91" t="s">
        <v>158</v>
      </c>
      <c r="P23" s="91">
        <v>6</v>
      </c>
      <c r="Q23" s="91" t="s">
        <v>157</v>
      </c>
    </row>
    <row r="24" spans="1:17" x14ac:dyDescent="0.25">
      <c r="A24" s="3">
        <v>5</v>
      </c>
      <c r="B24" s="17">
        <v>41351</v>
      </c>
      <c r="C24" s="17">
        <v>41416</v>
      </c>
      <c r="D24" s="17">
        <v>41477</v>
      </c>
      <c r="E24" s="17">
        <v>41540</v>
      </c>
      <c r="F24" s="17">
        <v>41600</v>
      </c>
      <c r="G24" s="17">
        <v>41661</v>
      </c>
      <c r="I24" s="91" t="s">
        <v>156</v>
      </c>
      <c r="L24" s="91" t="s">
        <v>155</v>
      </c>
      <c r="P24" s="91">
        <v>15</v>
      </c>
    </row>
    <row r="25" spans="1:17" x14ac:dyDescent="0.25">
      <c r="A25" s="3">
        <v>4</v>
      </c>
      <c r="B25" s="17">
        <v>41352</v>
      </c>
      <c r="C25" s="17">
        <v>41417</v>
      </c>
      <c r="D25" s="17">
        <v>41478</v>
      </c>
      <c r="E25" s="17">
        <v>41541</v>
      </c>
      <c r="F25" s="17">
        <v>41603</v>
      </c>
      <c r="G25" s="17">
        <v>41662</v>
      </c>
      <c r="P25" s="91">
        <v>35</v>
      </c>
    </row>
    <row r="26" spans="1:17" x14ac:dyDescent="0.25">
      <c r="A26" s="3">
        <v>3</v>
      </c>
      <c r="B26" s="17">
        <v>41353</v>
      </c>
      <c r="C26" s="17">
        <v>41418</v>
      </c>
      <c r="D26" s="17">
        <v>41479</v>
      </c>
      <c r="E26" s="17">
        <v>41542</v>
      </c>
      <c r="F26" s="17">
        <v>41604</v>
      </c>
      <c r="G26" s="17">
        <v>41663</v>
      </c>
      <c r="P26" s="91">
        <v>36</v>
      </c>
    </row>
    <row r="27" spans="1:17" x14ac:dyDescent="0.25">
      <c r="A27" s="3">
        <v>2</v>
      </c>
      <c r="B27" s="17">
        <v>41354</v>
      </c>
      <c r="C27" s="17">
        <v>41421</v>
      </c>
      <c r="D27" s="17">
        <v>41480</v>
      </c>
      <c r="E27" s="17">
        <v>41543</v>
      </c>
      <c r="F27" s="17">
        <v>41605</v>
      </c>
      <c r="G27" s="17">
        <v>41666</v>
      </c>
    </row>
    <row r="28" spans="1:17" x14ac:dyDescent="0.25">
      <c r="A28" s="3">
        <v>1</v>
      </c>
      <c r="B28" s="17">
        <v>41355</v>
      </c>
      <c r="C28" s="17">
        <v>41422</v>
      </c>
      <c r="D28" s="17">
        <v>41481</v>
      </c>
      <c r="E28" s="17">
        <v>41544</v>
      </c>
      <c r="F28" s="17">
        <v>41606</v>
      </c>
      <c r="G28" s="17">
        <v>41667</v>
      </c>
    </row>
    <row r="29" spans="1:17" x14ac:dyDescent="0.25">
      <c r="A29" s="17"/>
    </row>
    <row r="30" spans="1:17" x14ac:dyDescent="0.25">
      <c r="A30" s="17"/>
    </row>
    <row r="31" spans="1:17" x14ac:dyDescent="0.25">
      <c r="A31" s="91" t="s">
        <v>154</v>
      </c>
    </row>
    <row r="32" spans="1:17" x14ac:dyDescent="0.25">
      <c r="A32" s="91" t="s">
        <v>153</v>
      </c>
      <c r="B32" s="3">
        <v>0</v>
      </c>
      <c r="C32" s="3">
        <v>9</v>
      </c>
      <c r="D32" s="3">
        <v>8</v>
      </c>
      <c r="E32" s="3">
        <v>7</v>
      </c>
      <c r="F32" s="3">
        <v>6</v>
      </c>
      <c r="G32" s="3">
        <v>5</v>
      </c>
      <c r="H32" s="3">
        <v>4</v>
      </c>
      <c r="I32" s="3">
        <v>3</v>
      </c>
      <c r="J32" s="3">
        <v>2</v>
      </c>
      <c r="K32" s="3">
        <v>1</v>
      </c>
    </row>
    <row r="33" spans="1:11" x14ac:dyDescent="0.25">
      <c r="A33" s="91" t="s">
        <v>152</v>
      </c>
      <c r="B33" s="17">
        <v>41687</v>
      </c>
      <c r="C33" s="17">
        <v>41688</v>
      </c>
      <c r="D33" s="17">
        <v>41689</v>
      </c>
      <c r="E33" s="17">
        <v>41690</v>
      </c>
      <c r="F33" s="17">
        <v>41691</v>
      </c>
      <c r="G33" s="17">
        <v>41694</v>
      </c>
      <c r="H33" s="17">
        <v>41695</v>
      </c>
      <c r="I33" s="17">
        <v>41696</v>
      </c>
      <c r="J33" s="17">
        <v>41697</v>
      </c>
      <c r="K33" s="17">
        <v>41698</v>
      </c>
    </row>
    <row r="34" spans="1:11" x14ac:dyDescent="0.25">
      <c r="A34" s="17"/>
    </row>
    <row r="35" spans="1:11" x14ac:dyDescent="0.25">
      <c r="A35" s="17"/>
    </row>
    <row r="36" spans="1:11" x14ac:dyDescent="0.25">
      <c r="A36" s="17"/>
    </row>
    <row r="37" spans="1:11" x14ac:dyDescent="0.25">
      <c r="A37" s="17"/>
    </row>
    <row r="38" spans="1:11" x14ac:dyDescent="0.25">
      <c r="A38" s="17"/>
    </row>
    <row r="39" spans="1:11" x14ac:dyDescent="0.25">
      <c r="A39" s="17"/>
    </row>
    <row r="41" spans="1:11" x14ac:dyDescent="0.25">
      <c r="A41" s="17"/>
    </row>
    <row r="42" spans="1:11" x14ac:dyDescent="0.25">
      <c r="A42" s="17"/>
    </row>
    <row r="43" spans="1:11" x14ac:dyDescent="0.25">
      <c r="A43" s="17"/>
    </row>
    <row r="44" spans="1:11" x14ac:dyDescent="0.25">
      <c r="A44" s="17"/>
    </row>
    <row r="45" spans="1:11" x14ac:dyDescent="0.25">
      <c r="A45" s="17"/>
    </row>
    <row r="46" spans="1:11" x14ac:dyDescent="0.25">
      <c r="A46" s="17"/>
    </row>
    <row r="48" spans="1:11" x14ac:dyDescent="0.25">
      <c r="A48" s="17"/>
    </row>
    <row r="49" spans="1:1" x14ac:dyDescent="0.25">
      <c r="A49" s="17"/>
    </row>
    <row r="50" spans="1:1" x14ac:dyDescent="0.25">
      <c r="A50" s="17"/>
    </row>
    <row r="51" spans="1:1" x14ac:dyDescent="0.25">
      <c r="A51" s="17"/>
    </row>
    <row r="52" spans="1:1" x14ac:dyDescent="0.25">
      <c r="A52" s="17"/>
    </row>
    <row r="53" spans="1:1" x14ac:dyDescent="0.25">
      <c r="A53" s="17"/>
    </row>
    <row r="55" spans="1:1" x14ac:dyDescent="0.25">
      <c r="A55" s="17"/>
    </row>
    <row r="56" spans="1:1" x14ac:dyDescent="0.25">
      <c r="A56" s="17"/>
    </row>
    <row r="57" spans="1:1" x14ac:dyDescent="0.25">
      <c r="A57" s="17"/>
    </row>
    <row r="58" spans="1:1" x14ac:dyDescent="0.25">
      <c r="A58" s="17"/>
    </row>
    <row r="59" spans="1:1" x14ac:dyDescent="0.25">
      <c r="A59" s="17"/>
    </row>
    <row r="60" spans="1:1" x14ac:dyDescent="0.25">
      <c r="A60" s="17"/>
    </row>
    <row r="62" spans="1:1" x14ac:dyDescent="0.25">
      <c r="A62" s="17"/>
    </row>
    <row r="63" spans="1:1" x14ac:dyDescent="0.25">
      <c r="A63" s="17"/>
    </row>
    <row r="64" spans="1:1" x14ac:dyDescent="0.25">
      <c r="A64" s="17"/>
    </row>
    <row r="65" spans="1:1" x14ac:dyDescent="0.25">
      <c r="A65" s="17"/>
    </row>
    <row r="66" spans="1:1" x14ac:dyDescent="0.25">
      <c r="A66" s="17"/>
    </row>
    <row r="67" spans="1:1" x14ac:dyDescent="0.25">
      <c r="A67" s="17"/>
    </row>
    <row r="69" spans="1:1" x14ac:dyDescent="0.25">
      <c r="A69" s="17"/>
    </row>
    <row r="70" spans="1:1" x14ac:dyDescent="0.25">
      <c r="A70" s="17"/>
    </row>
    <row r="71" spans="1:1" x14ac:dyDescent="0.25">
      <c r="A71" s="17"/>
    </row>
    <row r="72" spans="1:1" x14ac:dyDescent="0.25">
      <c r="A72" s="17"/>
    </row>
    <row r="73" spans="1:1" x14ac:dyDescent="0.25">
      <c r="A73" s="17"/>
    </row>
    <row r="74" spans="1:1" x14ac:dyDescent="0.25">
      <c r="A74" s="17"/>
    </row>
    <row r="76" spans="1:1" x14ac:dyDescent="0.25">
      <c r="A76" s="17"/>
    </row>
    <row r="77" spans="1:1" x14ac:dyDescent="0.25">
      <c r="A77" s="17"/>
    </row>
    <row r="78" spans="1:1" x14ac:dyDescent="0.25">
      <c r="A78" s="17"/>
    </row>
    <row r="79" spans="1:1" x14ac:dyDescent="0.25">
      <c r="A79" s="17"/>
    </row>
    <row r="80" spans="1:1" x14ac:dyDescent="0.25">
      <c r="A80" s="17"/>
    </row>
    <row r="81" spans="1:1" x14ac:dyDescent="0.25">
      <c r="A81" s="17"/>
    </row>
    <row r="83" spans="1:1" x14ac:dyDescent="0.25">
      <c r="A83" s="17"/>
    </row>
    <row r="84" spans="1:1" x14ac:dyDescent="0.25">
      <c r="A84" s="17"/>
    </row>
    <row r="85" spans="1:1" x14ac:dyDescent="0.25">
      <c r="A85" s="17"/>
    </row>
    <row r="86" spans="1:1" x14ac:dyDescent="0.25">
      <c r="A86" s="17"/>
    </row>
    <row r="87" spans="1:1" x14ac:dyDescent="0.25">
      <c r="A87" s="17"/>
    </row>
    <row r="88" spans="1:1" x14ac:dyDescent="0.25">
      <c r="A88" s="17"/>
    </row>
  </sheetData>
  <mergeCells count="2">
    <mergeCell ref="A3:M3"/>
    <mergeCell ref="A17:G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3</vt:i4>
      </vt:variant>
    </vt:vector>
  </HeadingPairs>
  <TitlesOfParts>
    <vt:vector size="16" baseType="lpstr">
      <vt:lpstr>Programador</vt:lpstr>
      <vt:lpstr>DR 2345 Plazos</vt:lpstr>
      <vt:lpstr>Indicadores</vt:lpstr>
      <vt:lpstr>ACTIVIDADES POR TAREA</vt:lpstr>
      <vt:lpstr>Mensual</vt:lpstr>
      <vt:lpstr>Convertidor fechas texto</vt:lpstr>
      <vt:lpstr>Res 11004 de 2018 Exóg </vt:lpstr>
      <vt:lpstr>Cúcuta</vt:lpstr>
      <vt:lpstr>SDH 002 2012 Ica</vt:lpstr>
      <vt:lpstr>RESOL SDH 000508</vt:lpstr>
      <vt:lpstr>Sicali</vt:lpstr>
      <vt:lpstr>Calendario supersoc</vt:lpstr>
      <vt:lpstr>Res 00 Mar 28 F2516</vt:lpstr>
      <vt:lpstr>Indicadores!Área_de_impresión</vt:lpstr>
      <vt:lpstr>Programador!Área_de_impresión</vt:lpstr>
      <vt:lpstr>'ACTIVIDADES POR TAREA'!Títulos_a_imprimir</vt:lpstr>
    </vt:vector>
  </TitlesOfParts>
  <Company>Comité Departamental de Norte de Santander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Federación Nacional de Cafeteros de Colombia</dc:creator>
  <cp:lastModifiedBy>Full name</cp:lastModifiedBy>
  <cp:lastPrinted>2017-01-18T14:56:50Z</cp:lastPrinted>
  <dcterms:created xsi:type="dcterms:W3CDTF">2011-01-03T14:59:03Z</dcterms:created>
  <dcterms:modified xsi:type="dcterms:W3CDTF">2020-02-08T02:43:58Z</dcterms:modified>
</cp:coreProperties>
</file>